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1 - Valérie et Mikael Claquin - CLT00085\10- PLANNING ET BUDGET\"/>
    </mc:Choice>
  </mc:AlternateContent>
  <xr:revisionPtr revIDLastSave="0" documentId="13_ncr:1_{1DA589A3-6553-45AC-B8E4-E200CFA4C982}" xr6:coauthVersionLast="47" xr6:coauthVersionMax="47" xr10:uidLastSave="{00000000-0000-0000-0000-000000000000}"/>
  <bookViews>
    <workbookView xWindow="-28920" yWindow="0" windowWidth="29040" windowHeight="15720" tabRatio="673" activeTab="4" xr2:uid="{00000000-000D-0000-FFFF-FFFF00000000}"/>
  </bookViews>
  <sheets>
    <sheet name="HONO REVL" sheetId="9" r:id="rId1"/>
    <sheet name="RECAPITULATIF 1" sheetId="1" r:id="rId2"/>
    <sheet name="RECAPITULATIF 2" sheetId="6" r:id="rId3"/>
    <sheet name="RECAPITULATIF 3" sheetId="8" r:id="rId4"/>
    <sheet name="Feuil1" sheetId="5" r:id="rId5"/>
  </sheets>
  <definedNames>
    <definedName name="_xlnm.Print_Area" localSheetId="0">'HONO REVL'!$A$1:$Q$59</definedName>
    <definedName name="_xlnm.Print_Area" localSheetId="1">'RECAPITULATIF 1'!$A$1:$AK$58</definedName>
    <definedName name="_xlnm.Print_Area" localSheetId="2">'RECAPITULATIF 2'!$A$1:$AC$42</definedName>
    <definedName name="_xlnm.Print_Area" localSheetId="3">'RECAPITULATIF 3'!$A$1:$Y$42</definedName>
  </definedNames>
  <calcPr calcId="191029"/>
</workbook>
</file>

<file path=xl/calcChain.xml><?xml version="1.0" encoding="utf-8"?>
<calcChain xmlns="http://schemas.openxmlformats.org/spreadsheetml/2006/main">
  <c r="G22" i="6" l="1"/>
  <c r="I22" i="6" s="1"/>
  <c r="N40" i="9"/>
  <c r="M40" i="9"/>
  <c r="N34" i="9"/>
  <c r="M34" i="9"/>
  <c r="N31" i="9"/>
  <c r="M31" i="9"/>
  <c r="N28" i="9"/>
  <c r="M28" i="9"/>
  <c r="N22" i="9"/>
  <c r="M22" i="9"/>
  <c r="N19" i="9"/>
  <c r="M19" i="9"/>
  <c r="J40" i="9"/>
  <c r="K34" i="9"/>
  <c r="J34" i="9"/>
  <c r="H37" i="9"/>
  <c r="Q37" i="9" s="1"/>
  <c r="G37" i="9"/>
  <c r="P37" i="9" s="1"/>
  <c r="H34" i="9"/>
  <c r="H31" i="9"/>
  <c r="G31" i="9"/>
  <c r="H28" i="9"/>
  <c r="G28" i="9"/>
  <c r="H25" i="9"/>
  <c r="Q25" i="9" s="1"/>
  <c r="G25" i="9"/>
  <c r="P25" i="9" s="1"/>
  <c r="H22" i="9"/>
  <c r="G22" i="9"/>
  <c r="H19" i="9"/>
  <c r="Q19" i="9" s="1"/>
  <c r="G19" i="9"/>
  <c r="P19" i="9" s="1"/>
  <c r="I51" i="9"/>
  <c r="E40" i="8"/>
  <c r="W28" i="8"/>
  <c r="K28" i="8"/>
  <c r="G28" i="8"/>
  <c r="C28" i="8"/>
  <c r="U26" i="8"/>
  <c r="Q26" i="8"/>
  <c r="M26" i="8"/>
  <c r="I26" i="8"/>
  <c r="E26" i="8"/>
  <c r="Y25" i="8"/>
  <c r="U25" i="8"/>
  <c r="U30" i="8" s="1"/>
  <c r="U35" i="8" s="1"/>
  <c r="Q25" i="8"/>
  <c r="M25" i="8"/>
  <c r="I25" i="8"/>
  <c r="E25" i="8"/>
  <c r="Y22" i="8"/>
  <c r="S28" i="8"/>
  <c r="Q22" i="8"/>
  <c r="E22" i="8"/>
  <c r="E40" i="6"/>
  <c r="M22" i="6"/>
  <c r="E22" i="6"/>
  <c r="O28" i="6"/>
  <c r="C28" i="6"/>
  <c r="J22" i="9" s="1"/>
  <c r="M26" i="6"/>
  <c r="I26" i="6"/>
  <c r="E26" i="6"/>
  <c r="Q25" i="6"/>
  <c r="M25" i="6"/>
  <c r="I25" i="6"/>
  <c r="E25" i="6"/>
  <c r="Q22" i="6"/>
  <c r="K28" i="6"/>
  <c r="I50" i="1"/>
  <c r="P22" i="9" l="1"/>
  <c r="P28" i="9"/>
  <c r="Q28" i="9"/>
  <c r="P40" i="9"/>
  <c r="Q34" i="9"/>
  <c r="M42" i="9"/>
  <c r="H42" i="9"/>
  <c r="N42" i="9"/>
  <c r="Y30" i="8"/>
  <c r="Y35" i="8" s="1"/>
  <c r="M30" i="8"/>
  <c r="I30" i="8"/>
  <c r="I35" i="8" s="1"/>
  <c r="E30" i="8"/>
  <c r="O28" i="8"/>
  <c r="E38" i="8" s="1"/>
  <c r="Q30" i="8"/>
  <c r="Q35" i="8" s="1"/>
  <c r="E35" i="8"/>
  <c r="E30" i="6"/>
  <c r="K22" i="9" s="1"/>
  <c r="Q22" i="9" s="1"/>
  <c r="Q30" i="6"/>
  <c r="M30" i="6"/>
  <c r="M35" i="6" s="1"/>
  <c r="I30" i="6"/>
  <c r="G28" i="6"/>
  <c r="I36" i="5"/>
  <c r="K36" i="5" s="1"/>
  <c r="M36" i="5" s="1"/>
  <c r="L37" i="5"/>
  <c r="M35" i="5"/>
  <c r="K35" i="5"/>
  <c r="K34" i="5"/>
  <c r="M34" i="5" s="1"/>
  <c r="K33" i="5"/>
  <c r="M33" i="5" s="1"/>
  <c r="K26" i="1"/>
  <c r="M26" i="1" s="1"/>
  <c r="S26" i="1"/>
  <c r="C36" i="5"/>
  <c r="E36" i="5" s="1"/>
  <c r="C33" i="5"/>
  <c r="E33" i="5" s="1"/>
  <c r="E34" i="5"/>
  <c r="E35" i="5"/>
  <c r="J21" i="5"/>
  <c r="J22" i="5" s="1"/>
  <c r="E33" i="1" s="1"/>
  <c r="J20" i="5"/>
  <c r="H21" i="5"/>
  <c r="H22" i="5" s="1"/>
  <c r="H20" i="5"/>
  <c r="H16" i="5"/>
  <c r="H15" i="5"/>
  <c r="H14" i="5"/>
  <c r="J14" i="5" s="1"/>
  <c r="J15" i="5"/>
  <c r="S22" i="1"/>
  <c r="K22" i="1"/>
  <c r="P15" i="5"/>
  <c r="P14" i="5"/>
  <c r="P13" i="5"/>
  <c r="P12" i="5"/>
  <c r="P6" i="5"/>
  <c r="P7" i="5"/>
  <c r="P8" i="5"/>
  <c r="P9" i="5"/>
  <c r="P5" i="5"/>
  <c r="P10" i="5" s="1"/>
  <c r="R10" i="5"/>
  <c r="R16" i="5" s="1"/>
  <c r="P23" i="5"/>
  <c r="P22" i="5"/>
  <c r="H17" i="5" l="1"/>
  <c r="I37" i="5"/>
  <c r="P25" i="5"/>
  <c r="P16" i="5"/>
  <c r="W22" i="1" s="1"/>
  <c r="Q35" i="6"/>
  <c r="K40" i="9"/>
  <c r="Q40" i="9" s="1"/>
  <c r="I35" i="6"/>
  <c r="K31" i="9"/>
  <c r="E38" i="6"/>
  <c r="J31" i="9"/>
  <c r="M35" i="8"/>
  <c r="E41" i="8" s="1"/>
  <c r="E39" i="8"/>
  <c r="E35" i="6"/>
  <c r="E39" i="6"/>
  <c r="M37" i="5"/>
  <c r="K37" i="5"/>
  <c r="E37" i="5"/>
  <c r="C37" i="5"/>
  <c r="J16" i="5"/>
  <c r="J17" i="5"/>
  <c r="S23" i="5"/>
  <c r="E40" i="1"/>
  <c r="E15" i="5"/>
  <c r="E16" i="5"/>
  <c r="E14" i="5"/>
  <c r="C17" i="5"/>
  <c r="E17" i="5" l="1"/>
  <c r="E41" i="6"/>
  <c r="K42" i="9"/>
  <c r="Q42" i="9" s="1"/>
  <c r="Q31" i="9"/>
  <c r="J42" i="9"/>
  <c r="P31" i="9"/>
  <c r="J9" i="5"/>
  <c r="H8" i="5"/>
  <c r="H7" i="5"/>
  <c r="H6" i="5"/>
  <c r="H5" i="5"/>
  <c r="E9" i="5"/>
  <c r="C8" i="5"/>
  <c r="C7" i="5"/>
  <c r="C6" i="5"/>
  <c r="C5" i="5"/>
  <c r="C9" i="5" l="1"/>
  <c r="H9" i="5"/>
  <c r="AC26" i="1"/>
  <c r="U26" i="1"/>
  <c r="Q26" i="1"/>
  <c r="Q22" i="1"/>
  <c r="M32" i="1"/>
  <c r="K28" i="1"/>
  <c r="AI28" i="1"/>
  <c r="AK25" i="1"/>
  <c r="AK22" i="1"/>
  <c r="AK30" i="1" s="1"/>
  <c r="AK35" i="1" s="1"/>
  <c r="AE28" i="1"/>
  <c r="AG25" i="1"/>
  <c r="AG22" i="1"/>
  <c r="AA28" i="1"/>
  <c r="AC25" i="1"/>
  <c r="AC22" i="1"/>
  <c r="AC30" i="1" s="1"/>
  <c r="AC35" i="1" s="1"/>
  <c r="O28" i="1"/>
  <c r="C28" i="1"/>
  <c r="S28" i="1"/>
  <c r="AG30" i="1" l="1"/>
  <c r="AG35" i="1" s="1"/>
  <c r="Y25" i="1"/>
  <c r="U25" i="1"/>
  <c r="Q25" i="1"/>
  <c r="Q30" i="1" s="1"/>
  <c r="Q35" i="1" s="1"/>
  <c r="M25" i="1"/>
  <c r="I25" i="1"/>
  <c r="E25" i="1"/>
  <c r="M22" i="1"/>
  <c r="W28" i="1"/>
  <c r="G34" i="9" s="1"/>
  <c r="Y26" i="1"/>
  <c r="P34" i="9" l="1"/>
  <c r="G42" i="9"/>
  <c r="P42" i="9" s="1"/>
  <c r="C51" i="9" s="1"/>
  <c r="C53" i="9" s="1"/>
  <c r="Y30" i="1"/>
  <c r="Y35" i="1" s="1"/>
  <c r="G28" i="1"/>
  <c r="E38" i="1" s="1"/>
  <c r="E26" i="1"/>
  <c r="E22" i="1"/>
  <c r="U22" i="1"/>
  <c r="U30" i="1" s="1"/>
  <c r="U35" i="1" s="1"/>
  <c r="M30" i="1"/>
  <c r="E57" i="9" l="1"/>
  <c r="M52" i="9" s="1"/>
  <c r="I55" i="9"/>
  <c r="M35" i="1"/>
  <c r="E30" i="1"/>
  <c r="I26" i="1"/>
  <c r="I30" i="1" l="1"/>
  <c r="E39" i="1" s="1"/>
  <c r="E35" i="1"/>
  <c r="C50" i="1"/>
  <c r="C52" i="1" s="1"/>
  <c r="I35" i="1" l="1"/>
  <c r="E41" i="1" s="1"/>
  <c r="I52" i="1"/>
  <c r="E56" i="1"/>
  <c r="U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PC-SERVEUR</author>
  </authors>
  <commentList>
    <comment ref="S22" authorId="0" shapeId="0" xr:uid="{F604E96D-F115-4A30-8308-E5E9F5349ED3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Etage</t>
        </r>
      </text>
    </comment>
    <comment ref="K25" authorId="0" shapeId="0" xr:uid="{B4A472D6-6498-4161-9BF3-7FAE70F307B9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carrelage cuisine</t>
        </r>
      </text>
    </comment>
    <comment ref="S25" authorId="0" shapeId="0" xr:uid="{99808F9B-5A14-4952-A8B8-F00594EF402E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RDC</t>
        </r>
      </text>
    </comment>
    <comment ref="C32" authorId="0" shapeId="0" xr:uid="{3ACB773B-5B9D-41EB-8E80-B8DBE5568F99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40% devis signé</t>
        </r>
      </text>
    </comment>
    <comment ref="G32" authorId="0" shapeId="0" xr:uid="{60AD15FB-8DA8-4716-9B48-8E79E2552E68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30% avancement devis PR25-00127</t>
        </r>
      </text>
    </comment>
    <comment ref="K32" authorId="0" shapeId="0" xr:uid="{2D1C9FBF-396B-4B94-A74E-BAE5FF50EA70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30% Acompte sur devis 9938 et 9937</t>
        </r>
      </text>
    </comment>
    <comment ref="O32" authorId="0" shapeId="0" xr:uid="{D3064A5E-E833-4855-B64A-8DCDE4FDA1AB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30% acomte sur devis 0569</t>
        </r>
      </text>
    </comment>
    <comment ref="S32" authorId="0" shapeId="0" xr:uid="{F33FC2F4-8D35-4448-801B-E028C2679F5B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30% acompte devis D25-00110</t>
        </r>
      </text>
    </comment>
    <comment ref="W32" authorId="0" shapeId="0" xr:uid="{E139544F-A4E6-430B-8900-7D84E7A6AC2A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30% acompte devis 1020/1/1</t>
        </r>
      </text>
    </comment>
    <comment ref="G33" authorId="0" shapeId="0" xr:uid="{EDE6803C-D75F-4F67-AD5A-F171A09BDF91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30% avancement</t>
        </r>
      </text>
    </comment>
    <comment ref="K33" authorId="0" shapeId="0" xr:uid="{089982DF-420B-499F-A48A-25C8D609B570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30% acompte sur devis 10127</t>
        </r>
      </text>
    </comment>
    <comment ref="S33" authorId="0" shapeId="0" xr:uid="{85BC7052-7D82-4CD1-8158-9D52DA5B66C5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30% avancement</t>
        </r>
      </text>
    </comment>
    <comment ref="K34" authorId="0" shapeId="0" xr:uid="{E3E9FFD6-6B71-460C-8735-A770B496FB77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30% avancement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PC-SERVEUR</author>
  </authors>
  <commentList>
    <comment ref="G25" authorId="0" shapeId="0" xr:uid="{BE566EE5-1A03-46D2-ACAD-59140619A41B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meuble de chevet</t>
        </r>
      </text>
    </comment>
  </commentList>
</comments>
</file>

<file path=xl/sharedStrings.xml><?xml version="1.0" encoding="utf-8"?>
<sst xmlns="http://schemas.openxmlformats.org/spreadsheetml/2006/main" count="452" uniqueCount="206">
  <si>
    <t>TOTAL €HT</t>
  </si>
  <si>
    <t>TOTAL €TTC</t>
  </si>
  <si>
    <t xml:space="preserve">REFERENCE PROJET : </t>
  </si>
  <si>
    <t>ADRESSE :</t>
  </si>
  <si>
    <t xml:space="preserve">MAITRE D'OUVRAGE  </t>
  </si>
  <si>
    <t>TTC</t>
  </si>
  <si>
    <t>MISE A JOUR</t>
  </si>
  <si>
    <t>HT</t>
  </si>
  <si>
    <t>TVA</t>
  </si>
  <si>
    <t>MARCHE DE TRAVAUX</t>
  </si>
  <si>
    <t xml:space="preserve">TOTAL HT  </t>
  </si>
  <si>
    <t xml:space="preserve">TOTAL TTC  </t>
  </si>
  <si>
    <t>TOTAL GENERAL TRAVAUX + HONORAIRES</t>
  </si>
  <si>
    <t xml:space="preserve">TOTAL HONORAIRES  HORS TAXES  </t>
  </si>
  <si>
    <t xml:space="preserve">TOTAL HONORAIRES TOUTES TAXES COMPRISES  </t>
  </si>
  <si>
    <t>TOTAL TRAVAUX  HORS TAXES</t>
  </si>
  <si>
    <t>RÊV'L</t>
  </si>
  <si>
    <t>N° SIREN 912 699 949 - 07 48 11 91 37</t>
  </si>
  <si>
    <t>HONORAIRES RÊV'L</t>
  </si>
  <si>
    <t>TVA  NON APPLICABLE art. 293B du CGI</t>
  </si>
  <si>
    <t xml:space="preserve">TOTAL TRAVAUX TOUTES TAXES COMPRISES  </t>
  </si>
  <si>
    <t>DÉJÀ REGLE (ACOMPTES)</t>
  </si>
  <si>
    <t>RESTANT DÛ</t>
  </si>
  <si>
    <t>MACONNERIE / PLAQUISTERIE</t>
  </si>
  <si>
    <t>ELECTRICITE / PLOMBERIE</t>
  </si>
  <si>
    <t>M. ROSSI</t>
  </si>
  <si>
    <t>ABC</t>
  </si>
  <si>
    <t>Pose</t>
  </si>
  <si>
    <t>DÉJÀ REGLE TTC (ACOMPTES)</t>
  </si>
  <si>
    <t>RESTANT DÛ TTC</t>
  </si>
  <si>
    <t>SUIVI DES TRAVAUX</t>
  </si>
  <si>
    <t xml:space="preserve">TAUX D'HONORAIRES SUIVI DES TRAVAUX </t>
  </si>
  <si>
    <t>DÉJÀ REGLE</t>
  </si>
  <si>
    <t>PLUS-VALUES / MOINS-VALUES</t>
  </si>
  <si>
    <t>Projet Rénovation d'une maison d'habitation à Niort</t>
  </si>
  <si>
    <t>86 rue de Bessac - 79000 NIORT</t>
  </si>
  <si>
    <t>M. et Mme CLAQUIN</t>
  </si>
  <si>
    <t>M. et Mme CLAQUIN - 86 rue de Bessac - 79000 NIORT - claquin@club.fr - 06 14 61 02 59</t>
  </si>
  <si>
    <t>VB TRAVAUX</t>
  </si>
  <si>
    <t>PEINTURE</t>
  </si>
  <si>
    <t>RAGREAGE ET CARRELAGE</t>
  </si>
  <si>
    <t>FIDELE</t>
  </si>
  <si>
    <t>LENNY FERRON</t>
  </si>
  <si>
    <t>MENUISERIES INT/EXT</t>
  </si>
  <si>
    <t>CUISINE / DRESSING</t>
  </si>
  <si>
    <t>ESQUISSE</t>
  </si>
  <si>
    <t>POELE</t>
  </si>
  <si>
    <t>TURBO FONTE</t>
  </si>
  <si>
    <t>VITRAILLISTE</t>
  </si>
  <si>
    <t>Vir</t>
  </si>
  <si>
    <t>Chq</t>
  </si>
  <si>
    <t>ABC DU BÂTIMENT + BE Struct.</t>
  </si>
  <si>
    <t>DEVIS COMPLEMENTAIRE</t>
  </si>
  <si>
    <t>Non validé</t>
  </si>
  <si>
    <t>DRESSING</t>
  </si>
  <si>
    <t>Mme</t>
  </si>
  <si>
    <t>Monsieur</t>
  </si>
  <si>
    <t>Livraison</t>
  </si>
  <si>
    <t>ART DE VIE</t>
  </si>
  <si>
    <t>CUISINE CREATION</t>
  </si>
  <si>
    <t>DECLARATION PREALABLE TRAVAUX</t>
  </si>
  <si>
    <t>MACONNERIE</t>
  </si>
  <si>
    <t>salle à manger</t>
  </si>
  <si>
    <t>Via le PTZ</t>
  </si>
  <si>
    <t>chq</t>
  </si>
  <si>
    <t>En direct</t>
  </si>
  <si>
    <t>Matériel</t>
  </si>
  <si>
    <t>MO</t>
  </si>
  <si>
    <t>Etage</t>
  </si>
  <si>
    <t>DEPL</t>
  </si>
  <si>
    <t>CUISINE</t>
  </si>
  <si>
    <t>Meubles</t>
  </si>
  <si>
    <t>Plan de travail</t>
  </si>
  <si>
    <t>Electroménager</t>
  </si>
  <si>
    <t>Sanitaires</t>
  </si>
  <si>
    <t>Accessoires</t>
  </si>
  <si>
    <t>Eco partcip. Mob</t>
  </si>
  <si>
    <t>Eco partcip. Electro</t>
  </si>
  <si>
    <t>10% et 20%</t>
  </si>
  <si>
    <t>SUIVI DES MARCHES ET DES BUDGETS - PHASE 1</t>
  </si>
  <si>
    <t>BUDGET TRAVAUX ENTREPRISES - PHASE 1</t>
  </si>
  <si>
    <t>ABC - phase 2</t>
  </si>
  <si>
    <t>ABC - phase 1 - Situation 1</t>
  </si>
  <si>
    <t>MENUISERIE</t>
  </si>
  <si>
    <t>ROSSI</t>
  </si>
  <si>
    <t>etage</t>
  </si>
  <si>
    <t>2 trappes</t>
  </si>
  <si>
    <t>2 grilles</t>
  </si>
  <si>
    <t>+- values</t>
  </si>
  <si>
    <t>CARRELEUR</t>
  </si>
  <si>
    <t>2 Sde</t>
  </si>
  <si>
    <t>ragréage</t>
  </si>
  <si>
    <t>Acompte</t>
  </si>
  <si>
    <t>cuisine</t>
  </si>
  <si>
    <t>Reste à payer</t>
  </si>
  <si>
    <t>Sur la base du devis initial de la cuisine en L, non modifié</t>
  </si>
  <si>
    <t>vir</t>
  </si>
  <si>
    <t>Hors RDC cuisine et cage d'escalier</t>
  </si>
  <si>
    <t>SUIVI DES MARCHES ET DES BUDGETS - PHASE 2</t>
  </si>
  <si>
    <t>BUDGET TRAVAUX ENTREPRISES - PHASE 2</t>
  </si>
  <si>
    <t>SUIVI DES MARCHES ET DES BUDGETS - PHASE 3</t>
  </si>
  <si>
    <t>BUDGET TRAVAUX ENTREPRISES - PHASE 3</t>
  </si>
  <si>
    <t>SUIVI DES MARCHES ET DES BUDGETS - GLOBAL 3 PHASES</t>
  </si>
  <si>
    <t>BUDGET GLOBAL TRAVAUX ENTREPRISES</t>
  </si>
  <si>
    <t>PHASE 1</t>
  </si>
  <si>
    <t>PHASE 2</t>
  </si>
  <si>
    <t>PHASE 3</t>
  </si>
  <si>
    <t>TOTAL</t>
  </si>
  <si>
    <t>TOTAL TRAVAUX</t>
  </si>
  <si>
    <t>Echéancier RÊV'L</t>
  </si>
  <si>
    <t>Acompte Esquisse</t>
  </si>
  <si>
    <t>Solde Esquisse</t>
  </si>
  <si>
    <t>Facture de situation n°1</t>
  </si>
  <si>
    <t>Facture de situation n°2</t>
  </si>
  <si>
    <t>Facture de situation n°3</t>
  </si>
  <si>
    <t>Facture de situation n°4</t>
  </si>
  <si>
    <t>Facture de situation n°5</t>
  </si>
  <si>
    <t>Facture de situation n°6</t>
  </si>
  <si>
    <t>Facture de situation n°7</t>
  </si>
  <si>
    <t>Facture de situation n°8</t>
  </si>
  <si>
    <t>Facture de situation n°9</t>
  </si>
  <si>
    <t>Facture de situation n°10</t>
  </si>
  <si>
    <t>Facture de situation n°11</t>
  </si>
  <si>
    <t>Facture de situation n°12</t>
  </si>
  <si>
    <t>Esquisse</t>
  </si>
  <si>
    <t>Travaux phase 1</t>
  </si>
  <si>
    <t>Travaux phase 2</t>
  </si>
  <si>
    <t>Travaux phases 1 + 2</t>
  </si>
  <si>
    <t>Travaux phase 1 + DP</t>
  </si>
  <si>
    <t>REMISE EXCEPTIONNELLE PHASE 1</t>
  </si>
  <si>
    <t>hors meuble de chevet</t>
  </si>
  <si>
    <t>verre des 2 portes</t>
  </si>
  <si>
    <t>wc + extracteur</t>
  </si>
  <si>
    <t>Plues values</t>
  </si>
  <si>
    <t>Moins values</t>
  </si>
  <si>
    <t>2 pdt ch grands saillie</t>
  </si>
  <si>
    <t>pdt crée vasque enfants</t>
  </si>
  <si>
    <t>interrupteur deplacée</t>
  </si>
  <si>
    <t>cache sde enf</t>
  </si>
  <si>
    <t>gouloutte placard enfants</t>
  </si>
  <si>
    <t>2 prises encastrees chevet (pas saillie)</t>
  </si>
  <si>
    <t>interrupteur ss parents</t>
  </si>
  <si>
    <t>doublage dressing madame</t>
  </si>
  <si>
    <t>1 seule vmc</t>
  </si>
  <si>
    <t>alim elec ballon</t>
  </si>
  <si>
    <t>ef ec ballon</t>
  </si>
  <si>
    <t>pvc ballon</t>
  </si>
  <si>
    <t>cuisine 1 alim 5 spots</t>
  </si>
  <si>
    <t>5 spots</t>
  </si>
  <si>
    <t>prises four MO lv hotte plaque</t>
  </si>
  <si>
    <t>1 alim prises plan travail + bar</t>
  </si>
  <si>
    <t>alim dediee electro</t>
  </si>
  <si>
    <t>depannage ipn cuisine / salon</t>
  </si>
  <si>
    <t>creation prise saillie arcade</t>
  </si>
  <si>
    <t>poste infor 2 pc + 1 rj</t>
  </si>
  <si>
    <t>2 pc poele</t>
  </si>
  <si>
    <t>3 pc</t>
  </si>
  <si>
    <t>1 boite x6  3 pc 2 rj 1 sat</t>
  </si>
  <si>
    <t>passage vr salon</t>
  </si>
  <si>
    <t>3 alim salon (vr + 2pc)</t>
  </si>
  <si>
    <t>recuperation et mise en attente ancienne alim pour vitrail + cachesx2</t>
  </si>
  <si>
    <t>prise cave+ alim</t>
  </si>
  <si>
    <t>boite de deriv dressing mme</t>
  </si>
  <si>
    <t>deplacement du thermostat et reprogrammation</t>
  </si>
  <si>
    <t>modif 2 interrup cuisine salon</t>
  </si>
  <si>
    <t>chgt 2 interrup double entree et salon : offert</t>
  </si>
  <si>
    <t>2 prises plan travail + 1 interr noires + voyant</t>
  </si>
  <si>
    <t>1 prise plan travail</t>
  </si>
  <si>
    <t>tableau elec + protection x8 + sectionneur general</t>
  </si>
  <si>
    <t>wc vanne et pas robinet</t>
  </si>
  <si>
    <t>wc etage</t>
  </si>
  <si>
    <t>rebouchage passage evac wc</t>
  </si>
  <si>
    <t>2 pieds sde enf</t>
  </si>
  <si>
    <t>trappe de visite</t>
  </si>
  <si>
    <t>wedi</t>
  </si>
  <si>
    <t>depose tous rad maison x8</t>
  </si>
  <si>
    <t>repose rad x5</t>
  </si>
  <si>
    <t>4 tetes thermostat</t>
  </si>
  <si>
    <t>1 tete manuelle</t>
  </si>
  <si>
    <t>1 seche chaussette</t>
  </si>
  <si>
    <t>modif rad parents</t>
  </si>
  <si>
    <t>reaj tuyau rad parents</t>
  </si>
  <si>
    <t>pas de pieds rad</t>
  </si>
  <si>
    <t>cuisine alim ef ec pour evier et LM</t>
  </si>
  <si>
    <t>cuisine alim ef pour lv et frigo</t>
  </si>
  <si>
    <t>pvc evac cuisine</t>
  </si>
  <si>
    <t>modif reseau gaz + robinet arret</t>
  </si>
  <si>
    <t>2 vannes appentis ef ec</t>
  </si>
  <si>
    <t>depose rdc</t>
  </si>
  <si>
    <t>condamnation 2 alim rad rdc</t>
  </si>
  <si>
    <t>habillage coffre placo</t>
  </si>
  <si>
    <t>extracteur + détecteur presence</t>
  </si>
  <si>
    <t>pose LM</t>
  </si>
  <si>
    <t>fournir robinet + bonde</t>
  </si>
  <si>
    <t>fourniture et pose bati support</t>
  </si>
  <si>
    <t xml:space="preserve">fourniture et pose wc suspendu </t>
  </si>
  <si>
    <t>placo habito collé</t>
  </si>
  <si>
    <t>Rail David : 1ere planning</t>
  </si>
  <si>
    <t>VB ensuite sur passage</t>
  </si>
  <si>
    <t>David</t>
  </si>
  <si>
    <t>David ensuite</t>
  </si>
  <si>
    <t>alim + pose applique ou ruban LD</t>
  </si>
  <si>
    <t>fournir bandes</t>
  </si>
  <si>
    <t>cuvette posée seulement quand habillage sera fait par Mikael</t>
  </si>
  <si>
    <t>vanne arrêt sous l'escalier côté cave</t>
  </si>
  <si>
    <t>raccordement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</si>
</sst>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\ &quot;€&quot;"/>
    <numFmt numFmtId="165" formatCode="0.0%"/>
  </numFmts>
  <fonts count="6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FF0000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9" tint="-0.249977111117893"/>
      <name val="Arial"/>
      <family val="2"/>
    </font>
    <font>
      <b/>
      <sz val="12"/>
      <color theme="0" tint="-0.34998626667073579"/>
      <name val="Arial"/>
      <family val="2"/>
    </font>
    <font>
      <b/>
      <sz val="24"/>
      <color rgb="FFB48A00"/>
      <name val="Arial"/>
      <family val="2"/>
    </font>
    <font>
      <b/>
      <sz val="18"/>
      <color rgb="FF1C6268"/>
      <name val="Arial"/>
      <family val="2"/>
    </font>
    <font>
      <sz val="12"/>
      <name val="Arial"/>
      <family val="2"/>
    </font>
    <font>
      <sz val="18"/>
      <color rgb="FF1C6268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sz val="12"/>
      <color rgb="FF1C6268"/>
      <name val="Arial"/>
      <family val="2"/>
    </font>
    <font>
      <b/>
      <sz val="12"/>
      <color rgb="FFB48A00"/>
      <name val="Arial"/>
      <family val="2"/>
    </font>
    <font>
      <b/>
      <sz val="13"/>
      <color rgb="FFB48A00"/>
      <name val="Arial"/>
      <family val="2"/>
    </font>
    <font>
      <b/>
      <sz val="13"/>
      <color rgb="FFFF0000"/>
      <name val="Arial"/>
      <family val="2"/>
    </font>
    <font>
      <sz val="12"/>
      <color theme="0" tint="-0.34998626667073579"/>
      <name val="Arial"/>
      <family val="2"/>
    </font>
    <font>
      <i/>
      <sz val="10"/>
      <color rgb="FF1C626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388600"/>
      <name val="Calibri"/>
      <family val="2"/>
      <scheme val="minor"/>
    </font>
    <font>
      <b/>
      <sz val="14"/>
      <color rgb="FF1C6268"/>
      <name val="Arial"/>
      <family val="2"/>
    </font>
    <font>
      <b/>
      <sz val="16"/>
      <color rgb="FFB48A00"/>
      <name val="Arial"/>
      <family val="2"/>
    </font>
    <font>
      <sz val="12"/>
      <color rgb="FFB48A00"/>
      <name val="Arial"/>
      <family val="2"/>
    </font>
    <font>
      <sz val="18"/>
      <color rgb="FFB48A00"/>
      <name val="Arial"/>
      <family val="2"/>
    </font>
    <font>
      <sz val="8"/>
      <name val="Calibri"/>
      <family val="2"/>
      <scheme val="minor"/>
    </font>
    <font>
      <sz val="12"/>
      <color rgb="FFED0000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48A00"/>
        <bgColor indexed="64"/>
      </patternFill>
    </fill>
    <fill>
      <patternFill patternType="solid">
        <fgColor rgb="FF1C62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9" fillId="0" borderId="0" applyFont="0" applyFill="0" applyBorder="0" applyAlignment="0" applyProtection="0"/>
  </cellStyleXfs>
  <cellXfs count="1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4" fontId="10" fillId="0" borderId="0" xfId="0" applyNumberFormat="1" applyFont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9" fontId="1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8" fillId="0" borderId="0" xfId="0" applyFont="1"/>
    <xf numFmtId="0" fontId="10" fillId="0" borderId="6" xfId="0" applyFont="1" applyBorder="1"/>
    <xf numFmtId="0" fontId="10" fillId="0" borderId="9" xfId="0" applyFont="1" applyBorder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6" fillId="0" borderId="9" xfId="0" applyFont="1" applyBorder="1"/>
    <xf numFmtId="0" fontId="20" fillId="0" borderId="0" xfId="0" applyFont="1"/>
    <xf numFmtId="0" fontId="19" fillId="0" borderId="0" xfId="0" applyFont="1"/>
    <xf numFmtId="164" fontId="10" fillId="0" borderId="0" xfId="0" applyNumberFormat="1" applyFont="1" applyAlignment="1">
      <alignment horizontal="left" vertical="center"/>
    </xf>
    <xf numFmtId="0" fontId="17" fillId="2" borderId="0" xfId="0" applyFont="1" applyFill="1"/>
    <xf numFmtId="164" fontId="10" fillId="2" borderId="10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7" fillId="3" borderId="4" xfId="0" applyFont="1" applyFill="1" applyBorder="1"/>
    <xf numFmtId="0" fontId="27" fillId="3" borderId="5" xfId="0" applyFont="1" applyFill="1" applyBorder="1"/>
    <xf numFmtId="0" fontId="27" fillId="3" borderId="3" xfId="0" applyFont="1" applyFill="1" applyBorder="1"/>
    <xf numFmtId="0" fontId="28" fillId="0" borderId="1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4" fontId="24" fillId="2" borderId="5" xfId="0" applyNumberFormat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2" borderId="0" xfId="0" applyFont="1" applyFill="1" applyAlignment="1">
      <alignment horizontal="left"/>
    </xf>
    <xf numFmtId="164" fontId="35" fillId="0" borderId="0" xfId="0" applyNumberFormat="1" applyFont="1" applyAlignment="1">
      <alignment horizontal="center" vertical="center"/>
    </xf>
    <xf numFmtId="0" fontId="37" fillId="3" borderId="3" xfId="0" applyFont="1" applyFill="1" applyBorder="1" applyAlignment="1">
      <alignment horizontal="center"/>
    </xf>
    <xf numFmtId="0" fontId="26" fillId="0" borderId="6" xfId="0" applyFont="1" applyBorder="1"/>
    <xf numFmtId="0" fontId="36" fillId="2" borderId="12" xfId="0" applyFont="1" applyFill="1" applyBorder="1"/>
    <xf numFmtId="0" fontId="36" fillId="2" borderId="13" xfId="0" applyFont="1" applyFill="1" applyBorder="1"/>
    <xf numFmtId="164" fontId="24" fillId="2" borderId="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28" fillId="0" borderId="20" xfId="0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9" fontId="24" fillId="0" borderId="5" xfId="0" applyNumberFormat="1" applyFont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0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7" fontId="10" fillId="0" borderId="19" xfId="0" applyNumberFormat="1" applyFont="1" applyBorder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0" fontId="6" fillId="0" borderId="8" xfId="0" applyFont="1" applyBorder="1"/>
    <xf numFmtId="0" fontId="26" fillId="0" borderId="0" xfId="0" applyFont="1"/>
    <xf numFmtId="0" fontId="26" fillId="0" borderId="8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6" xfId="0" applyFont="1" applyBorder="1"/>
    <xf numFmtId="0" fontId="4" fillId="0" borderId="0" xfId="0" applyFont="1"/>
    <xf numFmtId="0" fontId="6" fillId="0" borderId="6" xfId="0" applyFont="1" applyBorder="1"/>
    <xf numFmtId="0" fontId="6" fillId="0" borderId="7" xfId="0" applyFont="1" applyBorder="1"/>
    <xf numFmtId="0" fontId="18" fillId="0" borderId="13" xfId="0" applyFont="1" applyBorder="1"/>
    <xf numFmtId="0" fontId="18" fillId="0" borderId="23" xfId="0" applyFont="1" applyBorder="1"/>
    <xf numFmtId="0" fontId="11" fillId="2" borderId="0" xfId="0" applyFont="1" applyFill="1"/>
    <xf numFmtId="164" fontId="11" fillId="2" borderId="0" xfId="0" applyNumberFormat="1" applyFont="1" applyFill="1" applyAlignment="1">
      <alignment horizontal="center" vertical="center"/>
    </xf>
    <xf numFmtId="0" fontId="42" fillId="0" borderId="0" xfId="0" applyFont="1"/>
    <xf numFmtId="164" fontId="43" fillId="3" borderId="2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44" fillId="0" borderId="0" xfId="0" applyFont="1"/>
    <xf numFmtId="164" fontId="24" fillId="2" borderId="10" xfId="0" applyNumberFormat="1" applyFont="1" applyFill="1" applyBorder="1" applyAlignment="1">
      <alignment horizontal="center" vertical="center"/>
    </xf>
    <xf numFmtId="2" fontId="18" fillId="0" borderId="0" xfId="0" applyNumberFormat="1" applyFont="1"/>
    <xf numFmtId="164" fontId="10" fillId="5" borderId="0" xfId="0" applyNumberFormat="1" applyFont="1" applyFill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164" fontId="42" fillId="0" borderId="0" xfId="0" applyNumberFormat="1" applyFont="1"/>
    <xf numFmtId="10" fontId="34" fillId="0" borderId="0" xfId="1" applyNumberFormat="1" applyFont="1" applyAlignment="1">
      <alignment vertical="center" wrapText="1"/>
    </xf>
    <xf numFmtId="9" fontId="20" fillId="0" borderId="0" xfId="1" applyFont="1"/>
    <xf numFmtId="9" fontId="0" fillId="0" borderId="0" xfId="0" applyNumberFormat="1"/>
    <xf numFmtId="2" fontId="0" fillId="0" borderId="0" xfId="0" applyNumberFormat="1"/>
    <xf numFmtId="2" fontId="45" fillId="0" borderId="0" xfId="0" applyNumberFormat="1" applyFont="1"/>
    <xf numFmtId="0" fontId="17" fillId="0" borderId="0" xfId="0" applyFont="1" applyAlignment="1">
      <alignment horizontal="left"/>
    </xf>
    <xf numFmtId="164" fontId="38" fillId="0" borderId="0" xfId="0" applyNumberFormat="1" applyFont="1" applyAlignment="1">
      <alignment horizontal="left" vertical="center"/>
    </xf>
    <xf numFmtId="165" fontId="24" fillId="0" borderId="0" xfId="0" applyNumberFormat="1" applyFont="1" applyAlignment="1">
      <alignment horizontal="center" vertical="center"/>
    </xf>
    <xf numFmtId="9" fontId="52" fillId="0" borderId="5" xfId="0" applyNumberFormat="1" applyFont="1" applyBorder="1" applyAlignment="1">
      <alignment horizontal="center" vertical="center" wrapText="1"/>
    </xf>
    <xf numFmtId="164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3" fillId="0" borderId="0" xfId="0" applyNumberFormat="1" applyFont="1" applyAlignment="1">
      <alignment horizontal="left" vertical="center"/>
    </xf>
    <xf numFmtId="0" fontId="0" fillId="0" borderId="0" xfId="0" quotePrefix="1"/>
    <xf numFmtId="2" fontId="54" fillId="0" borderId="0" xfId="0" applyNumberFormat="1" applyFont="1"/>
    <xf numFmtId="4" fontId="0" fillId="0" borderId="0" xfId="0" applyNumberFormat="1"/>
    <xf numFmtId="164" fontId="10" fillId="2" borderId="5" xfId="0" applyNumberFormat="1" applyFont="1" applyFill="1" applyBorder="1" applyAlignment="1">
      <alignment horizontal="center" vertical="center"/>
    </xf>
    <xf numFmtId="164" fontId="53" fillId="0" borderId="0" xfId="0" applyNumberFormat="1" applyFont="1" applyAlignment="1">
      <alignment horizontal="center" vertical="center" wrapText="1"/>
    </xf>
    <xf numFmtId="0" fontId="55" fillId="6" borderId="0" xfId="0" applyFont="1" applyFill="1" applyAlignment="1">
      <alignment horizontal="center" vertical="center"/>
    </xf>
    <xf numFmtId="9" fontId="55" fillId="6" borderId="0" xfId="0" applyNumberFormat="1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57" fillId="0" borderId="0" xfId="0" applyNumberFormat="1" applyFont="1" applyAlignment="1">
      <alignment horizontal="center" vertical="center"/>
    </xf>
    <xf numFmtId="0" fontId="58" fillId="0" borderId="0" xfId="0" applyFont="1"/>
    <xf numFmtId="0" fontId="27" fillId="3" borderId="18" xfId="0" applyFont="1" applyFill="1" applyBorder="1"/>
    <xf numFmtId="0" fontId="27" fillId="3" borderId="6" xfId="0" applyFont="1" applyFill="1" applyBorder="1"/>
    <xf numFmtId="0" fontId="27" fillId="3" borderId="7" xfId="0" applyFont="1" applyFill="1" applyBorder="1"/>
    <xf numFmtId="0" fontId="27" fillId="3" borderId="23" xfId="0" applyFont="1" applyFill="1" applyBorder="1"/>
    <xf numFmtId="14" fontId="10" fillId="0" borderId="0" xfId="0" applyNumberFormat="1" applyFont="1"/>
    <xf numFmtId="164" fontId="60" fillId="0" borderId="0" xfId="0" applyNumberFormat="1" applyFont="1" applyAlignment="1">
      <alignment horizontal="center" vertical="center"/>
    </xf>
    <xf numFmtId="7" fontId="6" fillId="0" borderId="0" xfId="0" applyNumberFormat="1" applyFont="1"/>
    <xf numFmtId="164" fontId="6" fillId="0" borderId="0" xfId="0" applyNumberFormat="1" applyFont="1"/>
    <xf numFmtId="0" fontId="61" fillId="0" borderId="0" xfId="0" applyFont="1" applyAlignment="1">
      <alignment horizontal="right"/>
    </xf>
    <xf numFmtId="0" fontId="61" fillId="0" borderId="9" xfId="0" applyFont="1" applyBorder="1"/>
    <xf numFmtId="0" fontId="6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33" fillId="0" borderId="19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14" fontId="21" fillId="0" borderId="16" xfId="0" applyNumberFormat="1" applyFont="1" applyBorder="1" applyAlignment="1">
      <alignment horizontal="center" vertical="center"/>
    </xf>
    <xf numFmtId="14" fontId="21" fillId="0" borderId="15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7" fontId="10" fillId="0" borderId="19" xfId="0" applyNumberFormat="1" applyFont="1" applyBorder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10" fontId="10" fillId="0" borderId="1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164" fontId="27" fillId="3" borderId="12" xfId="0" applyNumberFormat="1" applyFont="1" applyFill="1" applyBorder="1" applyAlignment="1">
      <alignment horizontal="center"/>
    </xf>
    <xf numFmtId="164" fontId="27" fillId="3" borderId="13" xfId="0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6" fillId="4" borderId="18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64" fontId="37" fillId="3" borderId="4" xfId="0" applyNumberFormat="1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7" fontId="61" fillId="0" borderId="0" xfId="0" applyNumberFormat="1" applyFont="1" applyAlignment="1">
      <alignment horizontal="center" vertical="center"/>
    </xf>
    <xf numFmtId="164" fontId="53" fillId="0" borderId="0" xfId="0" applyNumberFormat="1" applyFont="1" applyAlignment="1">
      <alignment horizontal="center" vertical="center" wrapText="1"/>
    </xf>
    <xf numFmtId="164" fontId="53" fillId="0" borderId="6" xfId="0" applyNumberFormat="1" applyFont="1" applyBorder="1" applyAlignment="1">
      <alignment horizontal="center" vertical="center" wrapText="1"/>
    </xf>
    <xf numFmtId="164" fontId="53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164" fontId="35" fillId="0" borderId="13" xfId="0" applyNumberFormat="1" applyFont="1" applyBorder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/>
    </xf>
    <xf numFmtId="164" fontId="35" fillId="0" borderId="6" xfId="0" applyNumberFormat="1" applyFont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48A00"/>
      <color rgb="FF1C6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378389</xdr:colOff>
      <xdr:row>0</xdr:row>
      <xdr:rowOff>104383</xdr:rowOff>
    </xdr:from>
    <xdr:to>
      <xdr:col>13</xdr:col>
      <xdr:colOff>339245</xdr:colOff>
      <xdr:row>4</xdr:row>
      <xdr:rowOff>89214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CEF892C-42AD-128E-BCFE-39EC9EF42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0855" y="104383"/>
          <a:ext cx="1591849" cy="911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0</xdr:row>
      <xdr:rowOff>78288</xdr:rowOff>
    </xdr:from>
    <xdr:to>
      <xdr:col>14</xdr:col>
      <xdr:colOff>521918</xdr:colOff>
      <xdr:row>4</xdr:row>
      <xdr:rowOff>63119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BE71D5-07DD-4C8E-AB49-4AE1F001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69" y="78288"/>
          <a:ext cx="1591849" cy="911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13048</xdr:colOff>
      <xdr:row>0</xdr:row>
      <xdr:rowOff>78288</xdr:rowOff>
    </xdr:from>
    <xdr:to>
      <xdr:col>14</xdr:col>
      <xdr:colOff>534965</xdr:colOff>
      <xdr:row>4</xdr:row>
      <xdr:rowOff>63119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B2BC41-7745-47D0-BC7F-89B05C32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616" y="78288"/>
          <a:ext cx="1591849" cy="911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430583</xdr:colOff>
      <xdr:row>0</xdr:row>
      <xdr:rowOff>91336</xdr:rowOff>
    </xdr:from>
    <xdr:to>
      <xdr:col>14</xdr:col>
      <xdr:colOff>443630</xdr:colOff>
      <xdr:row>4</xdr:row>
      <xdr:rowOff>76167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818CF7-729B-4B7C-888F-D3C513829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1473" y="91336"/>
          <a:ext cx="1591849" cy="91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6501-7AB7-40C7-A1D4-BDFAD8920657}">
  <sheetPr>
    <pageSetUpPr fitToPage="1"/>
  </sheetPr>
  <dimension ref="A1:Q74"/>
  <sheetViews>
    <sheetView showWhiteSpace="0" zoomScale="73" zoomScaleNormal="73" zoomScaleSheetLayoutView="40" zoomScalePageLayoutView="90" workbookViewId="0">
      <selection activeCell="G73" sqref="G73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5.140625" style="3" customWidth="1"/>
    <col min="7" max="8" width="18.7109375" style="3" customWidth="1"/>
    <col min="9" max="9" width="5.7109375" style="3" customWidth="1"/>
    <col min="10" max="11" width="18.7109375" style="3" customWidth="1"/>
    <col min="12" max="12" width="5.7109375" style="3" customWidth="1"/>
    <col min="13" max="14" width="18.7109375" style="3" customWidth="1"/>
    <col min="15" max="15" width="5.7109375" style="3" customWidth="1"/>
    <col min="16" max="17" width="18.7109375" style="3" customWidth="1"/>
    <col min="18" max="16384" width="11.5703125" style="3"/>
  </cols>
  <sheetData>
    <row r="1" spans="1:17" ht="30" x14ac:dyDescent="0.4">
      <c r="A1" s="50" t="s">
        <v>102</v>
      </c>
    </row>
    <row r="6" spans="1:17" ht="23.25" x14ac:dyDescent="0.2">
      <c r="A6" s="51" t="s">
        <v>2</v>
      </c>
      <c r="B6" s="1"/>
      <c r="C6" s="57" t="s">
        <v>34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3.25" x14ac:dyDescent="0.2">
      <c r="A7" s="52" t="s">
        <v>3</v>
      </c>
      <c r="B7" s="4"/>
      <c r="C7" s="73" t="s">
        <v>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20.25" customHeight="1" x14ac:dyDescent="0.2"/>
    <row r="10" spans="1:17" ht="20.100000000000001" customHeight="1" x14ac:dyDescent="0.2">
      <c r="A10" s="148" t="s">
        <v>16</v>
      </c>
      <c r="B10" s="149"/>
      <c r="C10" s="150"/>
      <c r="D10" s="151" t="s">
        <v>17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1:17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s="8" customFormat="1" ht="20.100000000000001" customHeight="1" x14ac:dyDescent="0.35">
      <c r="A12" s="153" t="s">
        <v>4</v>
      </c>
      <c r="B12" s="154"/>
      <c r="C12" s="155"/>
      <c r="D12" s="151" t="s">
        <v>37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</row>
    <row r="13" spans="1:17" s="8" customFormat="1" ht="23.25" x14ac:dyDescent="0.35">
      <c r="B13" s="11"/>
      <c r="N13" s="53" t="s">
        <v>6</v>
      </c>
      <c r="P13" s="156">
        <v>46056</v>
      </c>
      <c r="Q13" s="157"/>
    </row>
    <row r="14" spans="1:17" s="8" customFormat="1" ht="13.5" customHeight="1" x14ac:dyDescent="0.35">
      <c r="B14" s="11"/>
      <c r="O14" s="25"/>
    </row>
    <row r="15" spans="1:17" s="8" customFormat="1" ht="24.75" customHeight="1" x14ac:dyDescent="0.35">
      <c r="A15" s="179" t="s">
        <v>103</v>
      </c>
      <c r="B15" s="179"/>
      <c r="C15" s="179"/>
      <c r="D15" s="179"/>
      <c r="G15" s="168" t="s">
        <v>104</v>
      </c>
      <c r="H15" s="168"/>
      <c r="I15" s="133"/>
      <c r="J15" s="168" t="s">
        <v>105</v>
      </c>
      <c r="K15" s="168"/>
      <c r="L15" s="134"/>
      <c r="M15" s="168" t="s">
        <v>106</v>
      </c>
      <c r="N15" s="168"/>
      <c r="O15" s="25"/>
      <c r="P15" s="168" t="s">
        <v>107</v>
      </c>
      <c r="Q15" s="168"/>
    </row>
    <row r="16" spans="1:17" ht="21" customHeight="1" x14ac:dyDescent="0.25">
      <c r="A16" s="116"/>
      <c r="B16" s="116"/>
      <c r="C16" s="117"/>
      <c r="D16" s="76"/>
      <c r="F16" s="18"/>
      <c r="G16" s="129" t="s">
        <v>7</v>
      </c>
      <c r="H16" s="130" t="s">
        <v>5</v>
      </c>
      <c r="J16" s="129" t="s">
        <v>7</v>
      </c>
      <c r="K16" s="130" t="s">
        <v>5</v>
      </c>
      <c r="L16" s="128"/>
      <c r="M16" s="129" t="s">
        <v>7</v>
      </c>
      <c r="N16" s="130" t="s">
        <v>5</v>
      </c>
      <c r="O16" s="128"/>
      <c r="P16" s="129" t="s">
        <v>7</v>
      </c>
      <c r="Q16" s="130" t="s">
        <v>5</v>
      </c>
    </row>
    <row r="17" spans="1:17" ht="9.9499999999999993" customHeight="1" x14ac:dyDescent="0.25">
      <c r="A17" s="116"/>
      <c r="B17" s="116"/>
      <c r="C17" s="117"/>
      <c r="D17" s="76"/>
      <c r="O17" s="128"/>
      <c r="P17" s="128"/>
      <c r="Q17" s="128"/>
    </row>
    <row r="18" spans="1:17" ht="21" customHeight="1" x14ac:dyDescent="0.25">
      <c r="A18" s="116"/>
      <c r="B18" s="116"/>
      <c r="C18" s="175" t="s">
        <v>23</v>
      </c>
      <c r="D18" s="175"/>
      <c r="E18" s="175"/>
      <c r="F18" s="18"/>
      <c r="I18" s="23"/>
      <c r="J18" s="18"/>
      <c r="K18" s="128"/>
      <c r="L18" s="128"/>
      <c r="M18" s="128"/>
      <c r="N18" s="122"/>
      <c r="O18" s="128"/>
      <c r="P18" s="128"/>
      <c r="Q18" s="128"/>
    </row>
    <row r="19" spans="1:17" ht="21" customHeight="1" x14ac:dyDescent="0.25">
      <c r="A19" s="116"/>
      <c r="B19" s="116"/>
      <c r="C19" s="174" t="s">
        <v>51</v>
      </c>
      <c r="D19" s="174"/>
      <c r="E19" s="174"/>
      <c r="F19" s="18"/>
      <c r="G19" s="131">
        <f>'RECAPITULATIF 1'!C28</f>
        <v>10832.97</v>
      </c>
      <c r="H19" s="131">
        <f>'RECAPITULATIF 1'!E30</f>
        <v>11916.267</v>
      </c>
      <c r="I19" s="23"/>
      <c r="J19" s="131">
        <v>0</v>
      </c>
      <c r="K19" s="131">
        <v>0</v>
      </c>
      <c r="L19" s="128"/>
      <c r="M19" s="131">
        <f>'RECAPITULATIF 3'!C28</f>
        <v>0</v>
      </c>
      <c r="N19" s="131">
        <f>'RECAPITULATIF 3'!E30</f>
        <v>0</v>
      </c>
      <c r="O19" s="128"/>
      <c r="P19" s="132">
        <f>SUM(G19,J19,M19)</f>
        <v>10832.97</v>
      </c>
      <c r="Q19" s="132">
        <f>SUM(H19,K19,N19)</f>
        <v>11916.267</v>
      </c>
    </row>
    <row r="20" spans="1:17" ht="9.9499999999999993" customHeight="1" x14ac:dyDescent="0.25">
      <c r="A20" s="116"/>
      <c r="B20" s="116"/>
      <c r="C20" s="117"/>
      <c r="D20" s="76"/>
      <c r="F20" s="18"/>
      <c r="G20" s="117"/>
      <c r="H20" s="76"/>
      <c r="I20" s="23"/>
      <c r="J20" s="131"/>
      <c r="K20" s="131"/>
      <c r="L20" s="128"/>
      <c r="M20" s="131"/>
      <c r="N20" s="131"/>
      <c r="O20" s="128"/>
      <c r="P20" s="132"/>
      <c r="Q20" s="132"/>
    </row>
    <row r="21" spans="1:17" ht="21" customHeight="1" x14ac:dyDescent="0.25">
      <c r="A21" s="116"/>
      <c r="B21" s="116"/>
      <c r="C21" s="175" t="s">
        <v>24</v>
      </c>
      <c r="D21" s="175"/>
      <c r="E21" s="175"/>
      <c r="F21" s="18"/>
      <c r="G21" s="131"/>
      <c r="H21" s="131"/>
      <c r="I21" s="23"/>
      <c r="J21" s="131"/>
      <c r="K21" s="131"/>
      <c r="L21" s="128"/>
      <c r="M21" s="131"/>
      <c r="N21" s="131"/>
      <c r="O21" s="128"/>
      <c r="P21" s="132"/>
      <c r="Q21" s="132"/>
    </row>
    <row r="22" spans="1:17" ht="21" customHeight="1" x14ac:dyDescent="0.25">
      <c r="A22" s="116"/>
      <c r="B22" s="116"/>
      <c r="C22" s="174" t="s">
        <v>38</v>
      </c>
      <c r="D22" s="174"/>
      <c r="E22" s="174"/>
      <c r="F22" s="18"/>
      <c r="G22" s="131">
        <f>'RECAPITULATIF 1'!G28</f>
        <v>28026.240000000002</v>
      </c>
      <c r="H22" s="131">
        <f>'RECAPITULATIF 1'!I30</f>
        <v>30859.86</v>
      </c>
      <c r="I22" s="23"/>
      <c r="J22" s="131">
        <f>'RECAPITULATIF 2'!C28</f>
        <v>0</v>
      </c>
      <c r="K22" s="131">
        <f>'RECAPITULATIF 2'!E30</f>
        <v>0</v>
      </c>
      <c r="L22" s="128"/>
      <c r="M22" s="131">
        <f>'RECAPITULATIF 3'!G28</f>
        <v>0</v>
      </c>
      <c r="N22" s="131">
        <f>'RECAPITULATIF 3'!I30</f>
        <v>0</v>
      </c>
      <c r="O22" s="128"/>
      <c r="P22" s="132">
        <f t="shared" ref="P22:P42" si="0">SUM(G22,J22,M22)</f>
        <v>28026.240000000002</v>
      </c>
      <c r="Q22" s="132">
        <f t="shared" ref="Q22:Q42" si="1">SUM(H22,K22,N22)</f>
        <v>30859.86</v>
      </c>
    </row>
    <row r="23" spans="1:17" ht="9.9499999999999993" customHeight="1" x14ac:dyDescent="0.25">
      <c r="A23" s="116"/>
      <c r="B23" s="116"/>
      <c r="C23" s="117"/>
      <c r="D23" s="76"/>
      <c r="F23" s="18"/>
      <c r="G23" s="131"/>
      <c r="H23" s="131"/>
      <c r="I23" s="23"/>
      <c r="J23" s="131"/>
      <c r="K23" s="131"/>
      <c r="L23" s="128"/>
      <c r="M23" s="131"/>
      <c r="N23" s="131"/>
      <c r="O23" s="128"/>
      <c r="P23" s="132"/>
      <c r="Q23" s="132"/>
    </row>
    <row r="24" spans="1:17" ht="21" customHeight="1" x14ac:dyDescent="0.25">
      <c r="A24" s="116"/>
      <c r="B24" s="116"/>
      <c r="C24" s="175" t="s">
        <v>40</v>
      </c>
      <c r="D24" s="175"/>
      <c r="E24" s="175"/>
      <c r="F24" s="18"/>
      <c r="G24" s="131"/>
      <c r="H24" s="131"/>
      <c r="I24" s="23"/>
      <c r="J24" s="131"/>
      <c r="K24" s="131"/>
      <c r="L24" s="128"/>
      <c r="M24" s="131"/>
      <c r="N24" s="131"/>
      <c r="O24" s="128"/>
      <c r="P24" s="132"/>
      <c r="Q24" s="132"/>
    </row>
    <row r="25" spans="1:17" ht="21" customHeight="1" x14ac:dyDescent="0.25">
      <c r="A25" s="116"/>
      <c r="B25" s="116"/>
      <c r="C25" s="174" t="s">
        <v>41</v>
      </c>
      <c r="D25" s="174"/>
      <c r="E25" s="174"/>
      <c r="F25" s="18"/>
      <c r="G25" s="131">
        <f>'RECAPITULATIF 1'!K28</f>
        <v>6082.3899999999994</v>
      </c>
      <c r="H25" s="131">
        <f>'RECAPITULATIF 1'!M30</f>
        <v>6690.628999999999</v>
      </c>
      <c r="I25" s="23"/>
      <c r="J25" s="131">
        <v>0</v>
      </c>
      <c r="K25" s="131">
        <v>0</v>
      </c>
      <c r="L25" s="128"/>
      <c r="M25" s="131">
        <v>0</v>
      </c>
      <c r="N25" s="131">
        <v>0</v>
      </c>
      <c r="O25" s="128"/>
      <c r="P25" s="132">
        <f t="shared" si="0"/>
        <v>6082.3899999999994</v>
      </c>
      <c r="Q25" s="132">
        <f t="shared" si="1"/>
        <v>6690.628999999999</v>
      </c>
    </row>
    <row r="26" spans="1:17" ht="9.9499999999999993" customHeight="1" x14ac:dyDescent="0.25">
      <c r="A26" s="116"/>
      <c r="B26" s="116"/>
      <c r="C26" s="117"/>
      <c r="D26" s="76"/>
      <c r="F26" s="18"/>
      <c r="G26" s="131"/>
      <c r="H26" s="131"/>
      <c r="I26" s="23"/>
      <c r="J26" s="131"/>
      <c r="K26" s="131"/>
      <c r="L26" s="128"/>
      <c r="M26" s="131"/>
      <c r="N26" s="131"/>
      <c r="O26" s="128"/>
      <c r="P26" s="132"/>
      <c r="Q26" s="132"/>
    </row>
    <row r="27" spans="1:17" ht="21" customHeight="1" x14ac:dyDescent="0.25">
      <c r="A27" s="116"/>
      <c r="B27" s="116"/>
      <c r="C27" s="175" t="s">
        <v>39</v>
      </c>
      <c r="D27" s="175"/>
      <c r="E27" s="175"/>
      <c r="F27" s="18"/>
      <c r="G27" s="131"/>
      <c r="H27" s="131"/>
      <c r="I27" s="23"/>
      <c r="J27" s="131"/>
      <c r="K27" s="131"/>
      <c r="L27" s="128"/>
      <c r="M27" s="131"/>
      <c r="N27" s="131"/>
      <c r="O27" s="128"/>
      <c r="P27" s="132"/>
      <c r="Q27" s="132"/>
    </row>
    <row r="28" spans="1:17" ht="21" customHeight="1" x14ac:dyDescent="0.25">
      <c r="A28" s="116"/>
      <c r="B28" s="116"/>
      <c r="C28" s="174" t="s">
        <v>42</v>
      </c>
      <c r="D28" s="174"/>
      <c r="E28" s="174"/>
      <c r="F28" s="18"/>
      <c r="G28" s="131">
        <f>'RECAPITULATIF 1'!O28</f>
        <v>9869.36</v>
      </c>
      <c r="H28" s="131">
        <f>'RECAPITULATIF 1'!Q30</f>
        <v>10856.296</v>
      </c>
      <c r="I28" s="23"/>
      <c r="J28" s="131">
        <v>0</v>
      </c>
      <c r="K28" s="131">
        <v>0</v>
      </c>
      <c r="L28" s="128"/>
      <c r="M28" s="131">
        <f>'RECAPITULATIF 3'!K28</f>
        <v>0</v>
      </c>
      <c r="N28" s="131">
        <f>'RECAPITULATIF 3'!M30</f>
        <v>0</v>
      </c>
      <c r="O28" s="128"/>
      <c r="P28" s="132">
        <f t="shared" si="0"/>
        <v>9869.36</v>
      </c>
      <c r="Q28" s="132">
        <f t="shared" si="1"/>
        <v>10856.296</v>
      </c>
    </row>
    <row r="29" spans="1:17" ht="9.9499999999999993" customHeight="1" x14ac:dyDescent="0.25">
      <c r="A29" s="116"/>
      <c r="B29" s="116"/>
      <c r="C29" s="117"/>
      <c r="D29" s="76"/>
      <c r="F29" s="18"/>
      <c r="G29" s="131"/>
      <c r="H29" s="131"/>
      <c r="I29" s="23"/>
      <c r="J29" s="131"/>
      <c r="K29" s="131"/>
      <c r="L29" s="128"/>
      <c r="M29" s="131"/>
      <c r="N29" s="131"/>
      <c r="O29" s="128"/>
      <c r="P29" s="132"/>
      <c r="Q29" s="132"/>
    </row>
    <row r="30" spans="1:17" ht="21" customHeight="1" x14ac:dyDescent="0.25">
      <c r="A30" s="116"/>
      <c r="B30" s="116"/>
      <c r="C30" s="175" t="s">
        <v>43</v>
      </c>
      <c r="D30" s="175"/>
      <c r="E30" s="175"/>
      <c r="F30" s="18"/>
      <c r="G30" s="131"/>
      <c r="H30" s="131"/>
      <c r="I30" s="23"/>
      <c r="J30" s="131"/>
      <c r="K30" s="131"/>
      <c r="L30" s="128"/>
      <c r="M30" s="131"/>
      <c r="N30" s="131"/>
      <c r="O30" s="128"/>
      <c r="P30" s="132"/>
      <c r="Q30" s="132"/>
    </row>
    <row r="31" spans="1:17" ht="21" customHeight="1" x14ac:dyDescent="0.25">
      <c r="A31" s="116"/>
      <c r="B31" s="116"/>
      <c r="C31" s="174" t="s">
        <v>25</v>
      </c>
      <c r="D31" s="174"/>
      <c r="E31" s="174"/>
      <c r="F31" s="18"/>
      <c r="G31" s="131">
        <f>'RECAPITULATIF 1'!S28</f>
        <v>3750.48</v>
      </c>
      <c r="H31" s="131">
        <f>'RECAPITULATIF 1'!U30</f>
        <v>4125.5280000000002</v>
      </c>
      <c r="I31" s="23"/>
      <c r="J31" s="131">
        <f>'RECAPITULATIF 2'!G28</f>
        <v>13167.55</v>
      </c>
      <c r="K31" s="131">
        <f>'RECAPITULATIF 2'!I30</f>
        <v>14484.305</v>
      </c>
      <c r="L31" s="128"/>
      <c r="M31" s="131">
        <f>'RECAPITULATIF 3'!O28</f>
        <v>0</v>
      </c>
      <c r="N31" s="131">
        <f>'RECAPITULATIF 3'!Q30</f>
        <v>0</v>
      </c>
      <c r="O31" s="128"/>
      <c r="P31" s="132">
        <f t="shared" si="0"/>
        <v>16918.03</v>
      </c>
      <c r="Q31" s="132">
        <f t="shared" si="1"/>
        <v>18609.832999999999</v>
      </c>
    </row>
    <row r="32" spans="1:17" ht="9.9499999999999993" customHeight="1" x14ac:dyDescent="0.25">
      <c r="A32" s="116"/>
      <c r="B32" s="116"/>
      <c r="C32" s="117"/>
      <c r="D32" s="76"/>
      <c r="F32" s="18"/>
      <c r="G32" s="131"/>
      <c r="H32" s="131"/>
      <c r="I32" s="23"/>
      <c r="J32" s="131"/>
      <c r="K32" s="131"/>
      <c r="L32" s="128"/>
      <c r="M32" s="131"/>
      <c r="N32" s="131"/>
      <c r="O32" s="128"/>
      <c r="P32" s="132"/>
      <c r="Q32" s="132"/>
    </row>
    <row r="33" spans="1:17" ht="21" customHeight="1" x14ac:dyDescent="0.25">
      <c r="A33" s="116"/>
      <c r="B33" s="116"/>
      <c r="C33" s="175" t="s">
        <v>44</v>
      </c>
      <c r="D33" s="175"/>
      <c r="E33" s="175"/>
      <c r="F33" s="18"/>
      <c r="G33" s="131"/>
      <c r="H33" s="131"/>
      <c r="I33" s="23"/>
      <c r="J33" s="131"/>
      <c r="K33" s="131"/>
      <c r="L33" s="128"/>
      <c r="M33" s="131"/>
      <c r="N33" s="131"/>
      <c r="O33" s="128"/>
      <c r="P33" s="132"/>
      <c r="Q33" s="132"/>
    </row>
    <row r="34" spans="1:17" ht="21" customHeight="1" x14ac:dyDescent="0.25">
      <c r="A34" s="116"/>
      <c r="B34" s="116"/>
      <c r="C34" s="174" t="s">
        <v>58</v>
      </c>
      <c r="D34" s="174"/>
      <c r="E34" s="174"/>
      <c r="F34" s="18"/>
      <c r="G34" s="131">
        <f>'RECAPITULATIF 1'!W28</f>
        <v>15271.57515151515</v>
      </c>
      <c r="H34" s="131">
        <f>'RECAPITULATIF 1'!Y30</f>
        <v>16806</v>
      </c>
      <c r="I34" s="23"/>
      <c r="J34" s="131">
        <f>'RECAPITULATIF 2'!K28</f>
        <v>0</v>
      </c>
      <c r="K34" s="131">
        <f>'RECAPITULATIF 2'!M30</f>
        <v>0</v>
      </c>
      <c r="L34" s="128"/>
      <c r="M34" s="131">
        <f>'RECAPITULATIF 3'!S28</f>
        <v>0</v>
      </c>
      <c r="N34" s="131">
        <f>'RECAPITULATIF 3'!U30</f>
        <v>0</v>
      </c>
      <c r="O34" s="128"/>
      <c r="P34" s="132">
        <f t="shared" si="0"/>
        <v>15271.57515151515</v>
      </c>
      <c r="Q34" s="132">
        <f t="shared" si="1"/>
        <v>16806</v>
      </c>
    </row>
    <row r="35" spans="1:17" ht="9.9499999999999993" customHeight="1" x14ac:dyDescent="0.25">
      <c r="A35" s="116"/>
      <c r="B35" s="116"/>
      <c r="C35" s="117"/>
      <c r="D35" s="76"/>
      <c r="F35" s="18"/>
      <c r="G35" s="131"/>
      <c r="H35" s="131"/>
      <c r="I35" s="23"/>
      <c r="J35" s="131"/>
      <c r="K35" s="131"/>
      <c r="L35" s="128"/>
      <c r="M35" s="131"/>
      <c r="N35" s="131"/>
      <c r="O35" s="128"/>
      <c r="P35" s="132"/>
      <c r="Q35" s="132"/>
    </row>
    <row r="36" spans="1:17" ht="21" customHeight="1" x14ac:dyDescent="0.25">
      <c r="A36" s="116"/>
      <c r="B36" s="116"/>
      <c r="C36" s="175" t="s">
        <v>46</v>
      </c>
      <c r="D36" s="175"/>
      <c r="E36" s="175"/>
      <c r="F36" s="18"/>
      <c r="G36" s="131"/>
      <c r="H36" s="131"/>
      <c r="I36" s="23"/>
      <c r="J36" s="131"/>
      <c r="K36" s="131"/>
      <c r="L36" s="128"/>
      <c r="M36" s="131"/>
      <c r="N36" s="131"/>
      <c r="O36" s="128"/>
      <c r="P36" s="132"/>
      <c r="Q36" s="132"/>
    </row>
    <row r="37" spans="1:17" ht="21" customHeight="1" x14ac:dyDescent="0.25">
      <c r="A37" s="116"/>
      <c r="B37" s="116"/>
      <c r="C37" s="174" t="s">
        <v>47</v>
      </c>
      <c r="D37" s="174"/>
      <c r="E37" s="174"/>
      <c r="F37" s="18"/>
      <c r="G37" s="131">
        <f>'RECAPITULATIF 1'!AA28</f>
        <v>4981.6400000000003</v>
      </c>
      <c r="H37" s="131">
        <f>'RECAPITULATIF 1'!AC30</f>
        <v>5255.6302000000005</v>
      </c>
      <c r="I37" s="23"/>
      <c r="J37" s="131">
        <v>0</v>
      </c>
      <c r="K37" s="131">
        <v>0</v>
      </c>
      <c r="L37" s="128"/>
      <c r="M37" s="131">
        <v>0</v>
      </c>
      <c r="N37" s="131">
        <v>0</v>
      </c>
      <c r="O37" s="128"/>
      <c r="P37" s="132">
        <f t="shared" si="0"/>
        <v>4981.6400000000003</v>
      </c>
      <c r="Q37" s="132">
        <f t="shared" si="1"/>
        <v>5255.6302000000005</v>
      </c>
    </row>
    <row r="38" spans="1:17" ht="9.9499999999999993" customHeight="1" x14ac:dyDescent="0.25">
      <c r="A38" s="116"/>
      <c r="B38" s="116"/>
      <c r="C38" s="117"/>
      <c r="D38" s="76"/>
      <c r="F38" s="18"/>
      <c r="G38" s="131"/>
      <c r="H38" s="131"/>
      <c r="I38" s="23"/>
      <c r="J38" s="131"/>
      <c r="K38" s="131"/>
      <c r="L38" s="128"/>
      <c r="M38" s="131"/>
      <c r="N38" s="131"/>
      <c r="O38" s="128"/>
      <c r="P38" s="132"/>
      <c r="Q38" s="132"/>
    </row>
    <row r="39" spans="1:17" ht="21" customHeight="1" x14ac:dyDescent="0.25">
      <c r="A39" s="116"/>
      <c r="B39" s="116"/>
      <c r="C39" s="175" t="s">
        <v>48</v>
      </c>
      <c r="D39" s="175"/>
      <c r="E39" s="175"/>
      <c r="F39" s="18"/>
      <c r="G39" s="131"/>
      <c r="H39" s="131"/>
      <c r="I39" s="23"/>
      <c r="J39" s="131"/>
      <c r="K39" s="131"/>
      <c r="L39" s="128"/>
      <c r="M39" s="131"/>
      <c r="N39" s="131"/>
      <c r="O39" s="128"/>
      <c r="P39" s="132"/>
      <c r="Q39" s="132"/>
    </row>
    <row r="40" spans="1:17" ht="21" customHeight="1" x14ac:dyDescent="0.25">
      <c r="A40" s="116"/>
      <c r="B40" s="116"/>
      <c r="C40" s="174"/>
      <c r="D40" s="174"/>
      <c r="E40" s="174"/>
      <c r="F40" s="18"/>
      <c r="G40" s="131">
        <v>0</v>
      </c>
      <c r="H40" s="131">
        <v>0</v>
      </c>
      <c r="I40" s="23"/>
      <c r="J40" s="131">
        <f>'RECAPITULATIF 2'!O28</f>
        <v>0</v>
      </c>
      <c r="K40" s="131">
        <f>'RECAPITULATIF 2'!Q30</f>
        <v>0</v>
      </c>
      <c r="L40" s="128"/>
      <c r="M40" s="131">
        <f>'RECAPITULATIF 3'!W28</f>
        <v>0</v>
      </c>
      <c r="N40" s="131">
        <f>'RECAPITULATIF 3'!Y30</f>
        <v>0</v>
      </c>
      <c r="O40" s="128"/>
      <c r="P40" s="132">
        <f t="shared" si="0"/>
        <v>0</v>
      </c>
      <c r="Q40" s="132">
        <f t="shared" si="1"/>
        <v>0</v>
      </c>
    </row>
    <row r="41" spans="1:17" ht="9.9499999999999993" customHeight="1" x14ac:dyDescent="0.2">
      <c r="A41" s="14"/>
      <c r="B41" s="15"/>
      <c r="C41" s="14"/>
      <c r="D41" s="14"/>
      <c r="E41" s="14"/>
      <c r="F41" s="14"/>
      <c r="G41" s="107"/>
      <c r="H41" s="14"/>
      <c r="J41" s="131"/>
      <c r="K41" s="131"/>
      <c r="L41" s="108"/>
      <c r="M41" s="108"/>
      <c r="N41" s="108"/>
      <c r="O41" s="109"/>
      <c r="P41" s="132"/>
      <c r="Q41" s="132"/>
    </row>
    <row r="42" spans="1:17" ht="18" x14ac:dyDescent="0.2">
      <c r="A42" s="14"/>
      <c r="B42" s="15"/>
      <c r="C42" s="178" t="s">
        <v>108</v>
      </c>
      <c r="D42" s="178"/>
      <c r="E42" s="178"/>
      <c r="F42" s="14"/>
      <c r="G42" s="132">
        <f>SUM(G19,G22,G25,G28,G31,G34,G37,G40)</f>
        <v>78814.655151515151</v>
      </c>
      <c r="H42" s="132">
        <f>SUM(H19,H22,H25,H28,H31,H34,H37,H40)</f>
        <v>86510.210200000001</v>
      </c>
      <c r="J42" s="132">
        <f>SUM(J19,J22,J25,J28,J31,J34,J37,J40)</f>
        <v>13167.55</v>
      </c>
      <c r="K42" s="132">
        <f>SUM(K19,K22,K25,K28,K31,K34,K37,K40)</f>
        <v>14484.305</v>
      </c>
      <c r="L42" s="108"/>
      <c r="M42" s="132">
        <f>SUM(M19,M22,M25,M28,M31,M34,M37,M40)</f>
        <v>0</v>
      </c>
      <c r="N42" s="132">
        <f>SUM(N19,N22,N25,N28,N31,N34,N37,N40)</f>
        <v>0</v>
      </c>
      <c r="O42" s="109"/>
      <c r="P42" s="132">
        <f t="shared" si="0"/>
        <v>91982.205151515154</v>
      </c>
      <c r="Q42" s="132">
        <f t="shared" si="1"/>
        <v>100994.51519999999</v>
      </c>
    </row>
    <row r="43" spans="1:17" ht="15" x14ac:dyDescent="0.2">
      <c r="A43" s="14"/>
      <c r="B43" s="15"/>
      <c r="C43" s="14"/>
      <c r="D43" s="14"/>
      <c r="E43" s="14"/>
      <c r="F43" s="14"/>
      <c r="G43" s="107"/>
      <c r="H43" s="14"/>
      <c r="J43" s="108"/>
      <c r="K43" s="108"/>
      <c r="L43" s="108"/>
      <c r="M43" s="108"/>
      <c r="N43" s="108"/>
      <c r="O43" s="109"/>
      <c r="P43" s="108"/>
      <c r="Q43" s="108"/>
    </row>
    <row r="44" spans="1:17" ht="15.75" thickBot="1" x14ac:dyDescent="0.25">
      <c r="A44" s="14"/>
      <c r="B44" s="15"/>
      <c r="C44" s="14"/>
      <c r="D44" s="14"/>
      <c r="E44" s="14"/>
      <c r="F44" s="14"/>
      <c r="G44" s="14"/>
      <c r="H44" s="14"/>
      <c r="K44" s="14"/>
      <c r="L44" s="14"/>
      <c r="N44" s="14"/>
      <c r="O44" s="12"/>
      <c r="P44" s="14"/>
    </row>
    <row r="45" spans="1:17" ht="18" x14ac:dyDescent="0.25">
      <c r="A45" s="172" t="s">
        <v>18</v>
      </c>
      <c r="B45" s="173"/>
      <c r="C45" s="68"/>
      <c r="D45" s="68"/>
      <c r="E45" s="68"/>
      <c r="F45" s="68"/>
      <c r="G45" s="37"/>
      <c r="H45" s="91"/>
      <c r="I45" s="91"/>
      <c r="J45" s="93"/>
      <c r="K45" s="94"/>
      <c r="N45" s="42"/>
      <c r="O45" s="112"/>
      <c r="P45" s="42"/>
      <c r="Q45" s="14"/>
    </row>
    <row r="46" spans="1:17" ht="7.5" customHeight="1" x14ac:dyDescent="0.25">
      <c r="A46" s="89"/>
      <c r="B46" s="90"/>
      <c r="C46" s="88"/>
      <c r="D46" s="88"/>
      <c r="E46" s="88"/>
      <c r="F46" s="88"/>
      <c r="G46" s="14"/>
      <c r="H46" s="92"/>
      <c r="I46" s="92"/>
      <c r="K46" s="41"/>
      <c r="N46" s="42"/>
      <c r="O46" s="42"/>
      <c r="P46" s="42"/>
      <c r="Q46" s="14"/>
    </row>
    <row r="47" spans="1:17" ht="21" customHeight="1" x14ac:dyDescent="0.35">
      <c r="A47" s="162" t="s">
        <v>45</v>
      </c>
      <c r="B47" s="163"/>
      <c r="C47" s="164">
        <v>2260</v>
      </c>
      <c r="D47" s="165"/>
      <c r="E47" s="14" t="s">
        <v>7</v>
      </c>
      <c r="F47" s="30"/>
      <c r="G47" s="14"/>
      <c r="H47" s="35" t="s">
        <v>32</v>
      </c>
      <c r="I47" s="165">
        <v>2260</v>
      </c>
      <c r="J47" s="165"/>
      <c r="K47" s="38" t="s">
        <v>7</v>
      </c>
      <c r="L47" s="30"/>
      <c r="M47" s="8"/>
      <c r="N47" s="8"/>
      <c r="O47" s="14"/>
      <c r="Q47" s="14"/>
    </row>
    <row r="48" spans="1:17" ht="21" customHeight="1" x14ac:dyDescent="0.35">
      <c r="A48" s="83"/>
      <c r="B48" s="84" t="s">
        <v>60</v>
      </c>
      <c r="C48" s="164">
        <v>650</v>
      </c>
      <c r="D48" s="165"/>
      <c r="E48" s="14" t="s">
        <v>7</v>
      </c>
      <c r="F48" s="30"/>
      <c r="G48" s="14"/>
      <c r="H48" s="35" t="s">
        <v>32</v>
      </c>
      <c r="I48" s="165">
        <v>325</v>
      </c>
      <c r="J48" s="165"/>
      <c r="K48" s="38" t="s">
        <v>7</v>
      </c>
      <c r="L48" s="30"/>
      <c r="M48" s="8"/>
      <c r="N48" s="8"/>
      <c r="O48" s="14"/>
      <c r="Q48" s="14"/>
    </row>
    <row r="49" spans="1:17" ht="9.75" customHeight="1" x14ac:dyDescent="0.35">
      <c r="A49" s="83"/>
      <c r="B49" s="84"/>
      <c r="C49" s="85"/>
      <c r="D49" s="86"/>
      <c r="E49" s="14"/>
      <c r="F49" s="30"/>
      <c r="H49" s="35"/>
      <c r="I49" s="30"/>
      <c r="J49" s="30"/>
      <c r="K49" s="38"/>
      <c r="L49" s="30"/>
      <c r="M49" s="8"/>
      <c r="N49" s="8"/>
      <c r="O49" s="14"/>
      <c r="Q49" s="14"/>
    </row>
    <row r="50" spans="1:17" ht="18.75" thickBot="1" x14ac:dyDescent="0.3">
      <c r="A50" s="162" t="s">
        <v>31</v>
      </c>
      <c r="B50" s="163"/>
      <c r="C50" s="166">
        <v>0.13</v>
      </c>
      <c r="D50" s="167"/>
      <c r="E50" s="17"/>
      <c r="F50" s="17"/>
      <c r="H50" s="35"/>
      <c r="I50" s="16"/>
      <c r="J50" s="17"/>
      <c r="K50" s="38"/>
      <c r="L50" s="16"/>
      <c r="M50" s="171"/>
      <c r="N50" s="171"/>
      <c r="O50" s="14"/>
      <c r="P50" s="16"/>
      <c r="Q50" s="14"/>
    </row>
    <row r="51" spans="1:17" ht="20.25" customHeight="1" x14ac:dyDescent="0.3">
      <c r="A51" s="162" t="s">
        <v>30</v>
      </c>
      <c r="B51" s="163"/>
      <c r="C51" s="164">
        <f>P42*C50</f>
        <v>11957.68666969697</v>
      </c>
      <c r="D51" s="165"/>
      <c r="E51" s="14" t="s">
        <v>7</v>
      </c>
      <c r="F51" s="14"/>
      <c r="H51" s="35" t="s">
        <v>32</v>
      </c>
      <c r="I51" s="165">
        <f>225+700+500+1100+1500</f>
        <v>4025</v>
      </c>
      <c r="J51" s="165"/>
      <c r="K51" s="38" t="s">
        <v>7</v>
      </c>
      <c r="L51" s="18"/>
      <c r="M51" s="135" t="s">
        <v>12</v>
      </c>
      <c r="N51" s="136"/>
      <c r="O51" s="136"/>
      <c r="P51" s="136"/>
      <c r="Q51" s="137"/>
    </row>
    <row r="52" spans="1:17" ht="21" thickBot="1" x14ac:dyDescent="0.35">
      <c r="A52" s="40"/>
      <c r="B52" s="35"/>
      <c r="C52" s="34"/>
      <c r="D52" s="18"/>
      <c r="E52" s="14"/>
      <c r="F52" s="14"/>
      <c r="K52" s="38"/>
      <c r="M52" s="169">
        <f>E57+Q42</f>
        <v>115862.20186969696</v>
      </c>
      <c r="N52" s="170"/>
      <c r="O52" s="170"/>
      <c r="P52" s="170"/>
      <c r="Q52" s="138" t="s">
        <v>5</v>
      </c>
    </row>
    <row r="53" spans="1:17" ht="15" x14ac:dyDescent="0.2">
      <c r="A53" s="158" t="s">
        <v>13</v>
      </c>
      <c r="B53" s="159"/>
      <c r="C53" s="160">
        <f>C47+C51+C48</f>
        <v>14867.68666969697</v>
      </c>
      <c r="D53" s="160"/>
      <c r="E53" s="44" t="s">
        <v>7</v>
      </c>
      <c r="F53" s="14"/>
      <c r="G53" s="14"/>
      <c r="H53" s="143" t="s">
        <v>129</v>
      </c>
      <c r="I53" s="181">
        <v>1000</v>
      </c>
      <c r="J53" s="181"/>
      <c r="K53" s="144" t="s">
        <v>7</v>
      </c>
      <c r="L53" s="18"/>
    </row>
    <row r="54" spans="1:17" ht="15" x14ac:dyDescent="0.2">
      <c r="A54" s="39"/>
      <c r="B54" s="15"/>
      <c r="C54" s="34"/>
      <c r="D54" s="18"/>
      <c r="E54" s="14"/>
      <c r="F54" s="14"/>
      <c r="G54" s="14"/>
      <c r="H54" s="35"/>
      <c r="I54" s="161"/>
      <c r="J54" s="161"/>
      <c r="K54" s="38"/>
      <c r="L54" s="18"/>
      <c r="O54" s="14"/>
      <c r="P54" s="14"/>
      <c r="Q54" s="14"/>
    </row>
    <row r="55" spans="1:17" ht="20.25" x14ac:dyDescent="0.3">
      <c r="A55" s="87"/>
      <c r="B55" s="35" t="s">
        <v>19</v>
      </c>
      <c r="F55" s="44"/>
      <c r="G55" s="24"/>
      <c r="H55" s="35" t="s">
        <v>22</v>
      </c>
      <c r="I55" s="161">
        <f>C53-I47-I51-I48-I53</f>
        <v>7257.6866696969701</v>
      </c>
      <c r="J55" s="161"/>
      <c r="K55" s="38" t="s">
        <v>7</v>
      </c>
      <c r="M55" s="36"/>
      <c r="N55" s="36"/>
      <c r="O55" s="36"/>
      <c r="P55" s="36"/>
      <c r="Q55" s="36"/>
    </row>
    <row r="56" spans="1:17" ht="15.75" thickBot="1" x14ac:dyDescent="0.25">
      <c r="A56" s="40"/>
      <c r="B56" s="15"/>
      <c r="C56" s="14"/>
      <c r="D56" s="14"/>
      <c r="E56" s="14"/>
      <c r="F56" s="14"/>
      <c r="G56" s="14"/>
      <c r="H56" s="14"/>
      <c r="I56" s="14"/>
      <c r="J56" s="14"/>
      <c r="K56" s="41"/>
    </row>
    <row r="57" spans="1:17" s="36" customFormat="1" ht="21" thickBot="1" x14ac:dyDescent="0.35">
      <c r="A57" s="69" t="s">
        <v>14</v>
      </c>
      <c r="B57" s="70"/>
      <c r="C57" s="70"/>
      <c r="D57" s="70"/>
      <c r="E57" s="176">
        <f>C53-I54</f>
        <v>14867.68666969697</v>
      </c>
      <c r="F57" s="177"/>
      <c r="G57" s="177"/>
      <c r="H57" s="67" t="s">
        <v>5</v>
      </c>
      <c r="I57" s="95"/>
      <c r="J57" s="95"/>
      <c r="K57" s="96"/>
      <c r="M57" s="142"/>
      <c r="N57" s="141"/>
      <c r="O57" s="3"/>
      <c r="P57" s="3"/>
      <c r="Q57" s="3"/>
    </row>
    <row r="61" spans="1:17" ht="15.75" x14ac:dyDescent="0.2">
      <c r="B61" s="175" t="s">
        <v>109</v>
      </c>
      <c r="C61" s="175"/>
      <c r="D61" s="14" t="s">
        <v>124</v>
      </c>
      <c r="G61" s="139">
        <v>45804</v>
      </c>
      <c r="H61" s="180" t="s">
        <v>110</v>
      </c>
      <c r="I61" s="180"/>
      <c r="J61" s="180"/>
      <c r="K61" s="18">
        <v>678</v>
      </c>
    </row>
    <row r="62" spans="1:17" ht="15" x14ac:dyDescent="0.2">
      <c r="D62" s="14" t="s">
        <v>124</v>
      </c>
      <c r="G62" s="139">
        <v>45866</v>
      </c>
      <c r="H62" s="180" t="s">
        <v>111</v>
      </c>
      <c r="I62" s="180"/>
      <c r="J62" s="180"/>
      <c r="K62" s="18">
        <v>1582</v>
      </c>
    </row>
    <row r="63" spans="1:17" ht="15" x14ac:dyDescent="0.2">
      <c r="D63" s="14" t="s">
        <v>128</v>
      </c>
      <c r="G63" s="139">
        <v>45880</v>
      </c>
      <c r="H63" s="180" t="s">
        <v>112</v>
      </c>
      <c r="I63" s="180"/>
      <c r="J63" s="180"/>
      <c r="K63" s="18">
        <v>550</v>
      </c>
    </row>
    <row r="64" spans="1:17" ht="15" x14ac:dyDescent="0.2">
      <c r="D64" s="14" t="s">
        <v>128</v>
      </c>
      <c r="G64" s="139">
        <v>45925</v>
      </c>
      <c r="H64" s="180" t="s">
        <v>113</v>
      </c>
      <c r="I64" s="180"/>
      <c r="J64" s="180"/>
      <c r="K64" s="18">
        <v>700</v>
      </c>
    </row>
    <row r="65" spans="4:11" ht="15" x14ac:dyDescent="0.2">
      <c r="D65" s="14" t="s">
        <v>125</v>
      </c>
      <c r="G65" s="139">
        <v>45961</v>
      </c>
      <c r="H65" s="180" t="s">
        <v>114</v>
      </c>
      <c r="I65" s="180"/>
      <c r="J65" s="180"/>
      <c r="K65" s="18">
        <v>500</v>
      </c>
    </row>
    <row r="66" spans="4:11" ht="15" x14ac:dyDescent="0.2">
      <c r="D66" s="14" t="s">
        <v>125</v>
      </c>
      <c r="G66" s="139">
        <v>45991</v>
      </c>
      <c r="H66" s="180" t="s">
        <v>115</v>
      </c>
      <c r="I66" s="180"/>
      <c r="J66" s="180"/>
      <c r="K66" s="18">
        <v>1100</v>
      </c>
    </row>
    <row r="67" spans="4:11" ht="15" x14ac:dyDescent="0.2">
      <c r="D67" s="14" t="s">
        <v>125</v>
      </c>
      <c r="G67" s="139">
        <v>46022</v>
      </c>
      <c r="H67" s="180" t="s">
        <v>116</v>
      </c>
      <c r="I67" s="180"/>
      <c r="J67" s="180"/>
      <c r="K67" s="18">
        <v>1500</v>
      </c>
    </row>
    <row r="68" spans="4:11" ht="15" x14ac:dyDescent="0.2">
      <c r="D68" s="14" t="s">
        <v>125</v>
      </c>
      <c r="G68" s="139">
        <v>46053</v>
      </c>
      <c r="H68" s="180" t="s">
        <v>117</v>
      </c>
      <c r="I68" s="180"/>
      <c r="J68" s="180"/>
      <c r="K68" s="18">
        <v>1000</v>
      </c>
    </row>
    <row r="69" spans="4:11" ht="15" x14ac:dyDescent="0.2">
      <c r="D69" s="14" t="s">
        <v>125</v>
      </c>
      <c r="G69" s="139">
        <v>46080</v>
      </c>
      <c r="H69" s="180" t="s">
        <v>118</v>
      </c>
      <c r="I69" s="180"/>
      <c r="J69" s="180"/>
      <c r="K69" s="18">
        <v>1000</v>
      </c>
    </row>
    <row r="70" spans="4:11" ht="15" x14ac:dyDescent="0.2">
      <c r="D70" s="14" t="s">
        <v>125</v>
      </c>
      <c r="G70" s="139">
        <v>46111</v>
      </c>
      <c r="H70" s="180" t="s">
        <v>119</v>
      </c>
      <c r="I70" s="180"/>
      <c r="J70" s="180"/>
      <c r="K70" s="18">
        <v>1250</v>
      </c>
    </row>
    <row r="71" spans="4:11" ht="15" x14ac:dyDescent="0.2">
      <c r="D71" s="14" t="s">
        <v>125</v>
      </c>
      <c r="G71" s="139">
        <v>46142</v>
      </c>
      <c r="H71" s="180" t="s">
        <v>120</v>
      </c>
      <c r="I71" s="180"/>
      <c r="J71" s="180"/>
      <c r="K71" s="18">
        <v>1250</v>
      </c>
    </row>
    <row r="72" spans="4:11" ht="15" x14ac:dyDescent="0.2">
      <c r="D72" s="14" t="s">
        <v>127</v>
      </c>
      <c r="G72" s="139">
        <v>46171</v>
      </c>
      <c r="H72" s="180" t="s">
        <v>121</v>
      </c>
      <c r="I72" s="180"/>
      <c r="J72" s="180"/>
      <c r="K72" s="140">
        <v>1250</v>
      </c>
    </row>
    <row r="73" spans="4:11" ht="15" x14ac:dyDescent="0.2">
      <c r="D73" s="14" t="s">
        <v>126</v>
      </c>
      <c r="G73" s="139"/>
      <c r="H73" s="180" t="s">
        <v>122</v>
      </c>
      <c r="I73" s="180"/>
      <c r="J73" s="180"/>
      <c r="K73" s="18"/>
    </row>
    <row r="74" spans="4:11" ht="15" x14ac:dyDescent="0.2">
      <c r="H74" s="180" t="s">
        <v>123</v>
      </c>
      <c r="I74" s="180"/>
      <c r="J74" s="180"/>
      <c r="K74" s="18"/>
    </row>
  </sheetData>
  <mergeCells count="61">
    <mergeCell ref="H72:J72"/>
    <mergeCell ref="H73:J73"/>
    <mergeCell ref="H74:J74"/>
    <mergeCell ref="B61:C61"/>
    <mergeCell ref="I53:J53"/>
    <mergeCell ref="H66:J66"/>
    <mergeCell ref="H67:J67"/>
    <mergeCell ref="H68:J68"/>
    <mergeCell ref="H69:J69"/>
    <mergeCell ref="H70:J70"/>
    <mergeCell ref="H71:J71"/>
    <mergeCell ref="H61:J61"/>
    <mergeCell ref="H62:J62"/>
    <mergeCell ref="H63:J63"/>
    <mergeCell ref="H64:J64"/>
    <mergeCell ref="H65:J65"/>
    <mergeCell ref="E57:G57"/>
    <mergeCell ref="G15:H15"/>
    <mergeCell ref="J15:K15"/>
    <mergeCell ref="M15:N15"/>
    <mergeCell ref="C42:E42"/>
    <mergeCell ref="C37:E37"/>
    <mergeCell ref="C18:E18"/>
    <mergeCell ref="C21:E21"/>
    <mergeCell ref="C24:E24"/>
    <mergeCell ref="C27:E27"/>
    <mergeCell ref="C30:E30"/>
    <mergeCell ref="C33:E33"/>
    <mergeCell ref="A15:D15"/>
    <mergeCell ref="P15:Q15"/>
    <mergeCell ref="M52:P52"/>
    <mergeCell ref="M50:N50"/>
    <mergeCell ref="A51:B51"/>
    <mergeCell ref="C51:D51"/>
    <mergeCell ref="I51:J51"/>
    <mergeCell ref="A45:B45"/>
    <mergeCell ref="C40:E40"/>
    <mergeCell ref="C36:E36"/>
    <mergeCell ref="C39:E39"/>
    <mergeCell ref="C19:E19"/>
    <mergeCell ref="C22:E22"/>
    <mergeCell ref="C25:E25"/>
    <mergeCell ref="C28:E28"/>
    <mergeCell ref="C31:E31"/>
    <mergeCell ref="C34:E34"/>
    <mergeCell ref="A53:B53"/>
    <mergeCell ref="C53:D53"/>
    <mergeCell ref="I55:J55"/>
    <mergeCell ref="A47:B47"/>
    <mergeCell ref="C47:D47"/>
    <mergeCell ref="I47:J47"/>
    <mergeCell ref="C48:D48"/>
    <mergeCell ref="I48:J48"/>
    <mergeCell ref="A50:B50"/>
    <mergeCell ref="C50:D50"/>
    <mergeCell ref="I54:J54"/>
    <mergeCell ref="A10:C10"/>
    <mergeCell ref="D10:Q10"/>
    <mergeCell ref="A12:C12"/>
    <mergeCell ref="D12:Q12"/>
    <mergeCell ref="P13:Q13"/>
  </mergeCells>
  <phoneticPr fontId="59" type="noConversion"/>
  <pageMargins left="0.25" right="0.25" top="0.75" bottom="0.75" header="0.3" footer="0.3"/>
  <pageSetup paperSize="9" scale="48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6"/>
  <sheetViews>
    <sheetView showWhiteSpace="0" topLeftCell="A21" zoomScale="73" zoomScaleNormal="73" zoomScaleSheetLayoutView="40" zoomScalePageLayoutView="90" workbookViewId="0">
      <selection activeCell="W4" sqref="W4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2.85546875" style="3" customWidth="1"/>
    <col min="7" max="7" width="14.140625" style="3" customWidth="1"/>
    <col min="8" max="8" width="6.7109375" style="3" customWidth="1"/>
    <col min="9" max="9" width="14.140625" style="3" customWidth="1"/>
    <col min="10" max="10" width="2.85546875" style="3" customWidth="1"/>
    <col min="11" max="11" width="14.42578125" style="3" customWidth="1"/>
    <col min="12" max="12" width="6.7109375" style="3" customWidth="1"/>
    <col min="13" max="13" width="13.140625" style="3" customWidth="1"/>
    <col min="14" max="14" width="2.85546875" style="3" customWidth="1"/>
    <col min="15" max="15" width="14.28515625" style="3" customWidth="1"/>
    <col min="16" max="16" width="6.7109375" style="3" customWidth="1"/>
    <col min="17" max="17" width="14" style="3" customWidth="1"/>
    <col min="18" max="18" width="2.85546875" style="3" customWidth="1"/>
    <col min="19" max="19" width="14" style="3" customWidth="1"/>
    <col min="20" max="20" width="6.7109375" style="3" customWidth="1"/>
    <col min="21" max="21" width="14" style="3" customWidth="1"/>
    <col min="22" max="22" width="2.7109375" style="3" customWidth="1"/>
    <col min="23" max="23" width="14" style="3" customWidth="1"/>
    <col min="24" max="24" width="7.140625" style="3" customWidth="1"/>
    <col min="25" max="25" width="14" style="3" customWidth="1"/>
    <col min="26" max="26" width="2.85546875" style="3" customWidth="1"/>
    <col min="27" max="27" width="14" style="3" customWidth="1"/>
    <col min="28" max="28" width="11.5703125" style="3"/>
    <col min="29" max="29" width="14" style="3" customWidth="1"/>
    <col min="30" max="30" width="2.85546875" style="3" customWidth="1"/>
    <col min="31" max="31" width="14" style="3" customWidth="1"/>
    <col min="32" max="32" width="11.5703125" style="3"/>
    <col min="33" max="33" width="14" style="3" customWidth="1"/>
    <col min="34" max="34" width="2.85546875" style="3" customWidth="1"/>
    <col min="35" max="35" width="14" style="3" customWidth="1"/>
    <col min="36" max="36" width="11.5703125" style="3"/>
    <col min="37" max="37" width="14" style="3" customWidth="1"/>
    <col min="38" max="16384" width="11.5703125" style="3"/>
  </cols>
  <sheetData>
    <row r="1" spans="1:37" ht="30" x14ac:dyDescent="0.4">
      <c r="A1" s="50" t="s">
        <v>79</v>
      </c>
    </row>
    <row r="6" spans="1:37" ht="23.25" x14ac:dyDescent="0.2">
      <c r="A6" s="51" t="s">
        <v>2</v>
      </c>
      <c r="B6" s="1"/>
      <c r="C6" s="57" t="s">
        <v>34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ht="23.25" x14ac:dyDescent="0.2">
      <c r="A7" s="52" t="s">
        <v>3</v>
      </c>
      <c r="B7" s="4"/>
      <c r="C7" s="73" t="s">
        <v>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7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37" ht="20.25" customHeight="1" x14ac:dyDescent="0.2"/>
    <row r="10" spans="1:37" ht="20.100000000000001" customHeight="1" x14ac:dyDescent="0.2">
      <c r="A10" s="148" t="s">
        <v>16</v>
      </c>
      <c r="B10" s="149"/>
      <c r="C10" s="150"/>
      <c r="D10" s="151" t="s">
        <v>17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</row>
    <row r="11" spans="1:37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37" s="8" customFormat="1" ht="20.100000000000001" customHeight="1" x14ac:dyDescent="0.35">
      <c r="A12" s="153" t="s">
        <v>4</v>
      </c>
      <c r="B12" s="154"/>
      <c r="C12" s="155"/>
      <c r="D12" s="151" t="s">
        <v>37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</row>
    <row r="13" spans="1:37" s="8" customFormat="1" ht="20.100000000000001" customHeight="1" x14ac:dyDescent="0.35">
      <c r="A13" s="9"/>
      <c r="B13" s="10"/>
    </row>
    <row r="14" spans="1:37" s="8" customFormat="1" ht="23.25" x14ac:dyDescent="0.35">
      <c r="B14" s="11"/>
      <c r="Q14" s="53" t="s">
        <v>6</v>
      </c>
      <c r="S14" s="156">
        <v>46050</v>
      </c>
      <c r="T14" s="157"/>
    </row>
    <row r="15" spans="1:37" s="8" customFormat="1" ht="23.25" x14ac:dyDescent="0.35">
      <c r="A15" s="179" t="s">
        <v>80</v>
      </c>
      <c r="B15" s="179"/>
      <c r="C15" s="179"/>
      <c r="D15" s="179"/>
      <c r="O15" s="12"/>
    </row>
    <row r="16" spans="1:37" s="8" customFormat="1" ht="13.5" customHeight="1" x14ac:dyDescent="0.35">
      <c r="B16" s="11"/>
      <c r="O16" s="25"/>
    </row>
    <row r="17" spans="1:37" ht="19.5" customHeight="1" x14ac:dyDescent="0.4">
      <c r="A17" s="13"/>
      <c r="C17" s="175" t="s">
        <v>23</v>
      </c>
      <c r="D17" s="175"/>
      <c r="E17" s="175"/>
      <c r="F17" s="58"/>
      <c r="G17" s="175" t="s">
        <v>24</v>
      </c>
      <c r="H17" s="175"/>
      <c r="I17" s="175"/>
      <c r="J17" s="58"/>
      <c r="K17" s="175" t="s">
        <v>40</v>
      </c>
      <c r="L17" s="175"/>
      <c r="M17" s="175"/>
      <c r="N17" s="58"/>
      <c r="O17" s="175" t="s">
        <v>39</v>
      </c>
      <c r="P17" s="175"/>
      <c r="Q17" s="175"/>
      <c r="R17" s="58"/>
      <c r="S17" s="175" t="s">
        <v>43</v>
      </c>
      <c r="T17" s="175"/>
      <c r="U17" s="175"/>
      <c r="V17" s="27"/>
      <c r="W17" s="175" t="s">
        <v>44</v>
      </c>
      <c r="X17" s="175"/>
      <c r="Y17" s="175"/>
      <c r="AA17" s="175" t="s">
        <v>46</v>
      </c>
      <c r="AB17" s="175"/>
      <c r="AC17" s="175"/>
      <c r="AE17" s="175" t="s">
        <v>65</v>
      </c>
      <c r="AF17" s="175"/>
      <c r="AG17" s="175"/>
      <c r="AI17" s="175" t="s">
        <v>48</v>
      </c>
      <c r="AJ17" s="175"/>
      <c r="AK17" s="175"/>
    </row>
    <row r="18" spans="1:37" ht="15" customHeight="1" x14ac:dyDescent="0.4">
      <c r="A18" s="13"/>
      <c r="C18" s="174" t="s">
        <v>51</v>
      </c>
      <c r="D18" s="174"/>
      <c r="E18" s="174"/>
      <c r="F18" s="59"/>
      <c r="G18" s="174" t="s">
        <v>38</v>
      </c>
      <c r="H18" s="174"/>
      <c r="I18" s="174"/>
      <c r="J18" s="59"/>
      <c r="K18" s="174" t="s">
        <v>41</v>
      </c>
      <c r="L18" s="174"/>
      <c r="M18" s="174"/>
      <c r="N18" s="59"/>
      <c r="O18" s="174" t="s">
        <v>42</v>
      </c>
      <c r="P18" s="174"/>
      <c r="Q18" s="174"/>
      <c r="R18" s="59"/>
      <c r="S18" s="174" t="s">
        <v>25</v>
      </c>
      <c r="T18" s="174"/>
      <c r="U18" s="174"/>
      <c r="V18" s="22"/>
      <c r="W18" s="174" t="s">
        <v>58</v>
      </c>
      <c r="X18" s="174"/>
      <c r="Y18" s="174"/>
      <c r="AA18" s="174" t="s">
        <v>47</v>
      </c>
      <c r="AB18" s="174"/>
      <c r="AC18" s="174"/>
      <c r="AE18" s="174" t="s">
        <v>36</v>
      </c>
      <c r="AF18" s="174"/>
      <c r="AG18" s="174"/>
      <c r="AI18" s="174"/>
      <c r="AJ18" s="174"/>
      <c r="AK18" s="174"/>
    </row>
    <row r="19" spans="1:37" ht="10.5" customHeight="1" x14ac:dyDescent="0.4">
      <c r="A19" s="13"/>
      <c r="B19" s="2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AA19" s="22"/>
      <c r="AB19" s="22"/>
      <c r="AC19" s="22"/>
      <c r="AE19" s="22"/>
      <c r="AF19" s="22"/>
      <c r="AG19" s="22"/>
      <c r="AI19" s="22"/>
      <c r="AJ19" s="22"/>
      <c r="AK19" s="22"/>
    </row>
    <row r="20" spans="1:37" ht="15.75" x14ac:dyDescent="0.2">
      <c r="A20" s="14"/>
      <c r="B20" s="15"/>
      <c r="C20" s="28" t="s">
        <v>0</v>
      </c>
      <c r="D20" s="28" t="s">
        <v>8</v>
      </c>
      <c r="E20" s="29" t="s">
        <v>1</v>
      </c>
      <c r="F20" s="16"/>
      <c r="G20" s="28" t="s">
        <v>0</v>
      </c>
      <c r="H20" s="28" t="s">
        <v>8</v>
      </c>
      <c r="I20" s="29" t="s">
        <v>1</v>
      </c>
      <c r="J20" s="16"/>
      <c r="K20" s="28" t="s">
        <v>0</v>
      </c>
      <c r="L20" s="28" t="s">
        <v>8</v>
      </c>
      <c r="M20" s="29" t="s">
        <v>1</v>
      </c>
      <c r="N20" s="16"/>
      <c r="O20" s="28" t="s">
        <v>0</v>
      </c>
      <c r="P20" s="28" t="s">
        <v>8</v>
      </c>
      <c r="Q20" s="29" t="s">
        <v>1</v>
      </c>
      <c r="R20" s="16"/>
      <c r="S20" s="28" t="s">
        <v>0</v>
      </c>
      <c r="T20" s="28" t="s">
        <v>8</v>
      </c>
      <c r="U20" s="29" t="s">
        <v>1</v>
      </c>
      <c r="V20" s="29"/>
      <c r="W20" s="28" t="s">
        <v>0</v>
      </c>
      <c r="X20" s="28" t="s">
        <v>8</v>
      </c>
      <c r="Y20" s="29" t="s">
        <v>1</v>
      </c>
      <c r="AA20" s="28" t="s">
        <v>0</v>
      </c>
      <c r="AB20" s="28" t="s">
        <v>8</v>
      </c>
      <c r="AC20" s="29" t="s">
        <v>1</v>
      </c>
      <c r="AE20" s="28" t="s">
        <v>0</v>
      </c>
      <c r="AF20" s="28" t="s">
        <v>8</v>
      </c>
      <c r="AG20" s="29" t="s">
        <v>1</v>
      </c>
      <c r="AI20" s="28" t="s">
        <v>0</v>
      </c>
      <c r="AJ20" s="28" t="s">
        <v>8</v>
      </c>
      <c r="AK20" s="29" t="s">
        <v>1</v>
      </c>
    </row>
    <row r="21" spans="1:37" ht="15.75" thickBot="1" x14ac:dyDescent="0.25">
      <c r="A21" s="14"/>
      <c r="B21" s="15"/>
      <c r="C21" s="18"/>
      <c r="D21" s="14"/>
      <c r="E21" s="18"/>
      <c r="F21" s="18"/>
      <c r="G21" s="18"/>
      <c r="H21" s="14"/>
      <c r="I21" s="18"/>
      <c r="J21" s="18"/>
      <c r="K21" s="18"/>
      <c r="L21" s="14"/>
      <c r="M21" s="18"/>
      <c r="N21" s="18"/>
      <c r="O21" s="18"/>
      <c r="P21" s="14"/>
      <c r="Q21" s="18"/>
      <c r="R21" s="18"/>
      <c r="S21" s="18"/>
      <c r="T21" s="14"/>
      <c r="U21" s="18"/>
      <c r="V21" s="18"/>
      <c r="W21" s="18"/>
      <c r="X21" s="14"/>
      <c r="Y21" s="18"/>
      <c r="AA21" s="18"/>
      <c r="AB21" s="14"/>
      <c r="AC21" s="18"/>
      <c r="AE21" s="18"/>
      <c r="AF21" s="14"/>
      <c r="AG21" s="18"/>
      <c r="AI21" s="18"/>
      <c r="AJ21" s="14"/>
      <c r="AK21" s="18"/>
    </row>
    <row r="22" spans="1:37" ht="39" thickBot="1" x14ac:dyDescent="0.3">
      <c r="A22" s="185" t="s">
        <v>9</v>
      </c>
      <c r="B22" s="186"/>
      <c r="C22" s="61">
        <v>10832.97</v>
      </c>
      <c r="D22" s="75">
        <v>0.1</v>
      </c>
      <c r="E22" s="46">
        <f>C22*D22+C22</f>
        <v>11916.267</v>
      </c>
      <c r="F22" s="47"/>
      <c r="G22" s="61">
        <v>28026.240000000002</v>
      </c>
      <c r="H22" s="119" t="s">
        <v>78</v>
      </c>
      <c r="I22" s="103">
        <v>30859.86</v>
      </c>
      <c r="J22" s="47"/>
      <c r="K22" s="61">
        <f>1709.51+3722.02+774.7</f>
        <v>6206.23</v>
      </c>
      <c r="L22" s="75">
        <v>0.1</v>
      </c>
      <c r="M22" s="46">
        <f>K22*L22+K22</f>
        <v>6826.8529999999992</v>
      </c>
      <c r="N22" s="47"/>
      <c r="O22" s="61">
        <v>9705.86</v>
      </c>
      <c r="P22" s="75">
        <v>0.1</v>
      </c>
      <c r="Q22" s="46">
        <f>O22*P22+O22</f>
        <v>10676.446</v>
      </c>
      <c r="R22" s="47"/>
      <c r="S22" s="127">
        <f>2730.39+348.98+60</f>
        <v>3139.37</v>
      </c>
      <c r="T22" s="76">
        <v>0.1</v>
      </c>
      <c r="U22" s="48">
        <f>S22*T22+S22</f>
        <v>3453.3069999999998</v>
      </c>
      <c r="V22" s="18"/>
      <c r="W22" s="61">
        <f>Feuil1!P16</f>
        <v>15271.57515151515</v>
      </c>
      <c r="X22" s="75"/>
      <c r="Y22" s="48">
        <v>16806</v>
      </c>
      <c r="AA22" s="61">
        <v>4981.6400000000003</v>
      </c>
      <c r="AB22" s="118">
        <v>5.5E-2</v>
      </c>
      <c r="AC22" s="48">
        <f>AA22*AB22+AA22</f>
        <v>5255.6302000000005</v>
      </c>
      <c r="AE22" s="61"/>
      <c r="AF22" s="76">
        <v>0.2</v>
      </c>
      <c r="AG22" s="48">
        <f>AE22*AF22+AE22</f>
        <v>0</v>
      </c>
      <c r="AI22" s="61"/>
      <c r="AJ22" s="76">
        <v>0.1</v>
      </c>
      <c r="AK22" s="48">
        <f>AI22*AJ22+AI22</f>
        <v>0</v>
      </c>
    </row>
    <row r="23" spans="1:37" ht="21" customHeight="1" x14ac:dyDescent="0.25">
      <c r="A23" s="116"/>
      <c r="B23" s="116"/>
      <c r="C23" s="117"/>
      <c r="D23" s="76"/>
      <c r="F23" s="18"/>
      <c r="G23" s="117"/>
      <c r="H23" s="76"/>
      <c r="I23" s="23"/>
      <c r="J23" s="18"/>
      <c r="K23" s="183"/>
      <c r="L23" s="183"/>
      <c r="M23" s="183"/>
      <c r="N23" s="122"/>
      <c r="O23" s="183" t="s">
        <v>97</v>
      </c>
      <c r="P23" s="183"/>
      <c r="Q23" s="183"/>
      <c r="R23" s="122"/>
      <c r="S23" s="182"/>
      <c r="T23" s="182"/>
      <c r="U23" s="182"/>
      <c r="V23" s="18"/>
      <c r="W23" s="183" t="s">
        <v>95</v>
      </c>
      <c r="X23" s="183"/>
      <c r="Y23" s="183"/>
      <c r="AA23" s="117" t="s">
        <v>63</v>
      </c>
      <c r="AB23" s="76"/>
      <c r="AC23" s="18"/>
      <c r="AE23" s="62"/>
      <c r="AF23" s="76"/>
      <c r="AG23" s="18"/>
      <c r="AI23" s="184" t="s">
        <v>53</v>
      </c>
      <c r="AJ23" s="184"/>
      <c r="AK23" s="184"/>
    </row>
    <row r="24" spans="1:37" ht="15" x14ac:dyDescent="0.25">
      <c r="A24" s="99"/>
      <c r="C24" s="120"/>
      <c r="D24" s="121"/>
      <c r="E24" s="122"/>
      <c r="F24" s="122"/>
      <c r="G24" s="123"/>
      <c r="H24" s="121"/>
      <c r="I24" s="122"/>
      <c r="J24" s="122"/>
      <c r="K24" s="182"/>
      <c r="L24" s="182"/>
      <c r="M24" s="182"/>
      <c r="O24" s="182"/>
      <c r="P24" s="182"/>
      <c r="Q24" s="182"/>
      <c r="S24" s="182"/>
      <c r="T24" s="182"/>
      <c r="U24" s="182"/>
      <c r="V24" s="122"/>
      <c r="W24" s="182"/>
      <c r="X24" s="182"/>
      <c r="Y24" s="182"/>
      <c r="AA24" s="120"/>
      <c r="AB24" s="121"/>
      <c r="AC24" s="122"/>
      <c r="AE24" s="120"/>
      <c r="AF24" s="121"/>
      <c r="AG24" s="122"/>
      <c r="AI24" s="184"/>
      <c r="AJ24" s="184"/>
      <c r="AK24" s="184"/>
    </row>
    <row r="25" spans="1:37" ht="15" x14ac:dyDescent="0.2">
      <c r="A25" s="14" t="s">
        <v>52</v>
      </c>
      <c r="B25" s="15"/>
      <c r="C25" s="63"/>
      <c r="D25" s="76">
        <v>0.1</v>
      </c>
      <c r="E25" s="71">
        <f>C25*D25+C25</f>
        <v>0</v>
      </c>
      <c r="F25" s="62"/>
      <c r="G25" s="63"/>
      <c r="H25" s="76">
        <v>0.1</v>
      </c>
      <c r="I25" s="71">
        <f>G25*H25+G25</f>
        <v>0</v>
      </c>
      <c r="J25" s="62"/>
      <c r="K25" s="63"/>
      <c r="L25" s="76">
        <v>0.1</v>
      </c>
      <c r="M25" s="71">
        <f>K25*L25+K25</f>
        <v>0</v>
      </c>
      <c r="N25" s="62"/>
      <c r="O25" s="63"/>
      <c r="P25" s="76">
        <v>0.1</v>
      </c>
      <c r="Q25" s="71">
        <f>O25*P25+O25</f>
        <v>0</v>
      </c>
      <c r="R25" s="62"/>
      <c r="S25" s="63"/>
      <c r="T25" s="76">
        <v>0.1</v>
      </c>
      <c r="U25" s="71">
        <f>S25*T25+S25</f>
        <v>0</v>
      </c>
      <c r="V25" s="62"/>
      <c r="W25" s="63"/>
      <c r="X25" s="76">
        <v>0.1</v>
      </c>
      <c r="Y25" s="19">
        <f>W25*X25+W25</f>
        <v>0</v>
      </c>
      <c r="AA25" s="63"/>
      <c r="AB25" s="76"/>
      <c r="AC25" s="71">
        <f>AA25*AB25+AA25</f>
        <v>0</v>
      </c>
      <c r="AE25" s="63"/>
      <c r="AF25" s="76"/>
      <c r="AG25" s="71">
        <f>AE25*AF25+AE25</f>
        <v>0</v>
      </c>
      <c r="AI25" s="63"/>
      <c r="AJ25" s="76">
        <v>0.1</v>
      </c>
      <c r="AK25" s="71">
        <f>AI25*AJ25+AI25</f>
        <v>0</v>
      </c>
    </row>
    <row r="26" spans="1:37" ht="15.75" x14ac:dyDescent="0.25">
      <c r="A26" s="14" t="s">
        <v>33</v>
      </c>
      <c r="B26" s="15"/>
      <c r="C26" s="63"/>
      <c r="D26" s="76">
        <v>0.1</v>
      </c>
      <c r="E26" s="71">
        <f>C26*D26+C26</f>
        <v>0</v>
      </c>
      <c r="F26" s="62"/>
      <c r="G26" s="63"/>
      <c r="H26" s="76">
        <v>0.1</v>
      </c>
      <c r="I26" s="71">
        <f>G26*H26+G26</f>
        <v>0</v>
      </c>
      <c r="J26" s="62"/>
      <c r="K26" s="63">
        <f>245+411.17-131.25-648.76</f>
        <v>-123.83999999999992</v>
      </c>
      <c r="L26" s="76">
        <v>0.1</v>
      </c>
      <c r="M26" s="71">
        <f>K26*L26+K26</f>
        <v>-136.2239999999999</v>
      </c>
      <c r="N26" s="62"/>
      <c r="O26" s="63">
        <v>163.5</v>
      </c>
      <c r="P26" s="76">
        <v>0.1</v>
      </c>
      <c r="Q26" s="71">
        <f>O26*P26+O26</f>
        <v>179.85</v>
      </c>
      <c r="R26" s="62"/>
      <c r="S26" s="63">
        <f>20-90+461.11+120+100</f>
        <v>611.11</v>
      </c>
      <c r="T26" s="76">
        <v>0.1</v>
      </c>
      <c r="U26" s="71">
        <f>S26*T26+S26</f>
        <v>672.221</v>
      </c>
      <c r="V26" s="62"/>
      <c r="W26" s="63"/>
      <c r="X26" s="76">
        <v>0.1</v>
      </c>
      <c r="Y26" s="19">
        <f>W26*X26+W26</f>
        <v>0</v>
      </c>
      <c r="Z26" s="110"/>
      <c r="AA26" s="63"/>
      <c r="AB26" s="76"/>
      <c r="AC26" s="71">
        <f>AA26*AB26+AA26</f>
        <v>0</v>
      </c>
      <c r="AE26" s="63"/>
      <c r="AF26" s="76"/>
      <c r="AG26" s="71"/>
      <c r="AI26" s="63"/>
      <c r="AJ26" s="76">
        <v>0.1</v>
      </c>
      <c r="AK26" s="71"/>
    </row>
    <row r="27" spans="1:37" ht="15.75" x14ac:dyDescent="0.25">
      <c r="A27" s="17"/>
      <c r="B27" s="15"/>
      <c r="C27" s="77"/>
      <c r="D27" s="18"/>
      <c r="E27" s="18"/>
      <c r="F27" s="18"/>
      <c r="G27" s="77"/>
      <c r="H27" s="18"/>
      <c r="I27" s="18"/>
      <c r="J27" s="18"/>
      <c r="K27" s="18"/>
      <c r="L27" s="77"/>
      <c r="M27" s="77"/>
      <c r="N27" s="18"/>
      <c r="O27" s="18"/>
      <c r="P27" s="77"/>
      <c r="Q27" s="60"/>
      <c r="R27" s="18"/>
      <c r="S27" s="78"/>
      <c r="T27" s="78"/>
      <c r="U27" s="78"/>
      <c r="V27" s="78"/>
      <c r="W27" s="78"/>
      <c r="X27" s="78"/>
      <c r="Y27" s="78"/>
      <c r="Z27" s="107"/>
      <c r="AA27" s="78"/>
      <c r="AB27" s="78"/>
      <c r="AC27" s="78"/>
      <c r="AE27" s="78"/>
      <c r="AF27" s="78"/>
      <c r="AG27" s="78"/>
      <c r="AI27" s="78"/>
      <c r="AJ27" s="78"/>
      <c r="AK27" s="78"/>
    </row>
    <row r="28" spans="1:37" s="99" customFormat="1" ht="15.75" x14ac:dyDescent="0.25">
      <c r="A28" s="97"/>
      <c r="B28" s="32" t="s">
        <v>10</v>
      </c>
      <c r="C28" s="98">
        <f>SUM(C21:C27)</f>
        <v>10832.97</v>
      </c>
      <c r="D28" s="20"/>
      <c r="E28" s="20"/>
      <c r="F28" s="20"/>
      <c r="G28" s="98">
        <f>SUM(G21:G27)</f>
        <v>28026.240000000002</v>
      </c>
      <c r="H28" s="20"/>
      <c r="I28" s="20"/>
      <c r="J28" s="20"/>
      <c r="K28" s="98">
        <f>SUM(K21:K27)</f>
        <v>6082.3899999999994</v>
      </c>
      <c r="L28" s="20"/>
      <c r="M28" s="20"/>
      <c r="N28" s="79"/>
      <c r="O28" s="98">
        <f>SUM(O21:O27)</f>
        <v>9869.36</v>
      </c>
      <c r="P28" s="20"/>
      <c r="Q28" s="20"/>
      <c r="R28" s="20"/>
      <c r="S28" s="98">
        <f>SUM(S21:S27)</f>
        <v>3750.48</v>
      </c>
      <c r="T28" s="20"/>
      <c r="U28" s="20"/>
      <c r="V28" s="20"/>
      <c r="W28" s="98">
        <f>SUM(W21:W27)</f>
        <v>15271.57515151515</v>
      </c>
      <c r="X28" s="20"/>
      <c r="Y28" s="20"/>
      <c r="AA28" s="98">
        <f>SUM(AA21:AA27)</f>
        <v>4981.6400000000003</v>
      </c>
      <c r="AB28" s="20"/>
      <c r="AC28" s="20"/>
      <c r="AE28" s="98">
        <f>SUM(AE21:AE27)</f>
        <v>0</v>
      </c>
      <c r="AF28" s="20"/>
      <c r="AG28" s="20"/>
      <c r="AI28" s="98">
        <f>SUM(AI21:AI27)</f>
        <v>0</v>
      </c>
      <c r="AJ28" s="20"/>
      <c r="AK28" s="20"/>
    </row>
    <row r="29" spans="1:37" ht="15" x14ac:dyDescent="0.2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R29" s="14"/>
    </row>
    <row r="30" spans="1:37" s="36" customFormat="1" ht="20.25" x14ac:dyDescent="0.3">
      <c r="A30" s="191" t="s">
        <v>11</v>
      </c>
      <c r="B30" s="191"/>
      <c r="C30" s="14"/>
      <c r="E30" s="100">
        <f>SUM(E22:E27)</f>
        <v>11916.267</v>
      </c>
      <c r="F30" s="77"/>
      <c r="G30" s="77"/>
      <c r="H30" s="77"/>
      <c r="I30" s="100">
        <f>SUM(I22:I27)</f>
        <v>30859.86</v>
      </c>
      <c r="J30" s="77"/>
      <c r="K30" s="77"/>
      <c r="L30" s="77"/>
      <c r="M30" s="100">
        <f>SUM(M22:M27)</f>
        <v>6690.628999999999</v>
      </c>
      <c r="N30" s="77"/>
      <c r="O30" s="77"/>
      <c r="P30" s="77"/>
      <c r="Q30" s="100">
        <f>SUM(Q22:Q27)</f>
        <v>10856.296</v>
      </c>
      <c r="R30" s="77"/>
      <c r="S30" s="77"/>
      <c r="T30" s="77"/>
      <c r="U30" s="100">
        <f>SUM(U22:U27)</f>
        <v>4125.5280000000002</v>
      </c>
      <c r="V30" s="20"/>
      <c r="W30" s="77"/>
      <c r="X30" s="77"/>
      <c r="Y30" s="100">
        <f>SUM(Y22:Y27)</f>
        <v>16806</v>
      </c>
      <c r="AA30" s="77"/>
      <c r="AB30" s="77"/>
      <c r="AC30" s="100">
        <f>SUM(AC22:AC27)</f>
        <v>5255.6302000000005</v>
      </c>
      <c r="AE30" s="77"/>
      <c r="AF30" s="77"/>
      <c r="AG30" s="100">
        <f>SUM(AG22:AG27)</f>
        <v>0</v>
      </c>
      <c r="AI30" s="77"/>
      <c r="AJ30" s="77"/>
      <c r="AK30" s="100">
        <f>SUM(AK22:AK27)</f>
        <v>0</v>
      </c>
    </row>
    <row r="31" spans="1:37" s="36" customFormat="1" ht="21" thickBot="1" x14ac:dyDescent="0.3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AA31" s="43"/>
      <c r="AB31" s="43"/>
      <c r="AC31" s="43"/>
      <c r="AE31" s="43"/>
      <c r="AF31" s="43"/>
      <c r="AG31" s="43"/>
      <c r="AI31" s="43"/>
      <c r="AJ31" s="43"/>
      <c r="AK31" s="43"/>
    </row>
    <row r="32" spans="1:37" s="36" customFormat="1" ht="21" thickBot="1" x14ac:dyDescent="0.35">
      <c r="A32" s="14" t="s">
        <v>28</v>
      </c>
      <c r="B32" s="43"/>
      <c r="C32" s="74">
        <v>45986</v>
      </c>
      <c r="D32" s="3" t="s">
        <v>49</v>
      </c>
      <c r="E32" s="46">
        <v>8310.5</v>
      </c>
      <c r="F32" s="43"/>
      <c r="G32" s="101">
        <v>45975</v>
      </c>
      <c r="H32" s="3" t="s">
        <v>49</v>
      </c>
      <c r="I32" s="103">
        <v>8174.84</v>
      </c>
      <c r="K32" s="101">
        <v>45944</v>
      </c>
      <c r="L32" s="3" t="s">
        <v>50</v>
      </c>
      <c r="M32" s="46">
        <f>564.14+1228.27</f>
        <v>1792.4099999999999</v>
      </c>
      <c r="N32" s="43"/>
      <c r="O32" s="74">
        <v>45944</v>
      </c>
      <c r="P32" s="3" t="s">
        <v>49</v>
      </c>
      <c r="Q32" s="46">
        <v>3202.94</v>
      </c>
      <c r="R32" s="43"/>
      <c r="S32" s="74">
        <v>45950</v>
      </c>
      <c r="T32" s="3" t="s">
        <v>49</v>
      </c>
      <c r="U32" s="46">
        <v>901.03</v>
      </c>
      <c r="V32" s="43"/>
      <c r="W32" s="74">
        <v>45953</v>
      </c>
      <c r="X32" s="3" t="s">
        <v>49</v>
      </c>
      <c r="Y32" s="103">
        <v>5041.8</v>
      </c>
      <c r="AA32" s="74">
        <v>45944</v>
      </c>
      <c r="AB32" s="3" t="s">
        <v>64</v>
      </c>
      <c r="AC32" s="46">
        <v>1577</v>
      </c>
      <c r="AE32" s="74"/>
      <c r="AF32" s="43"/>
      <c r="AG32" s="46"/>
      <c r="AI32" s="74"/>
      <c r="AJ32" s="43"/>
      <c r="AK32" s="46"/>
    </row>
    <row r="33" spans="1:37" s="36" customFormat="1" ht="21" thickBot="1" x14ac:dyDescent="0.35">
      <c r="A33" s="14"/>
      <c r="B33" s="43"/>
      <c r="C33" s="101">
        <v>45999</v>
      </c>
      <c r="D33" s="3" t="s">
        <v>49</v>
      </c>
      <c r="E33" s="46">
        <f>Feuil1!J22</f>
        <v>3605.7669999999998</v>
      </c>
      <c r="F33" s="43"/>
      <c r="G33" s="101">
        <v>46027</v>
      </c>
      <c r="H33" s="3" t="s">
        <v>49</v>
      </c>
      <c r="I33" s="103">
        <v>8174.84</v>
      </c>
      <c r="K33" s="74">
        <v>45971</v>
      </c>
      <c r="L33" s="3" t="s">
        <v>50</v>
      </c>
      <c r="M33" s="46">
        <v>255.65</v>
      </c>
      <c r="N33" s="43"/>
      <c r="O33" s="74">
        <v>46053</v>
      </c>
      <c r="P33" s="3" t="s">
        <v>49</v>
      </c>
      <c r="Q33" s="46">
        <v>7653.36</v>
      </c>
      <c r="R33" s="43"/>
      <c r="S33" s="101">
        <v>46027</v>
      </c>
      <c r="T33" s="3" t="s">
        <v>49</v>
      </c>
      <c r="U33" s="103">
        <v>3224.5</v>
      </c>
      <c r="V33" s="43"/>
      <c r="W33" s="101">
        <v>46040</v>
      </c>
      <c r="X33" s="3" t="s">
        <v>49</v>
      </c>
      <c r="Y33" s="103">
        <v>10083.6</v>
      </c>
      <c r="AA33" s="101">
        <v>46043</v>
      </c>
      <c r="AB33" s="3" t="s">
        <v>96</v>
      </c>
      <c r="AC33" s="46">
        <v>3678.63</v>
      </c>
      <c r="AE33" s="74"/>
      <c r="AF33" s="43"/>
      <c r="AG33" s="46"/>
      <c r="AI33" s="74"/>
      <c r="AJ33" s="43"/>
      <c r="AK33" s="46"/>
    </row>
    <row r="34" spans="1:37" s="36" customFormat="1" ht="21" thickBot="1" x14ac:dyDescent="0.35">
      <c r="A34" s="14"/>
      <c r="B34" s="43"/>
      <c r="C34" s="74"/>
      <c r="D34" s="43"/>
      <c r="E34" s="46"/>
      <c r="F34" s="43"/>
      <c r="G34" s="74"/>
      <c r="H34" s="43"/>
      <c r="I34" s="46"/>
      <c r="K34" s="101">
        <v>46027</v>
      </c>
      <c r="L34" s="3" t="s">
        <v>49</v>
      </c>
      <c r="M34" s="103">
        <v>4642.57</v>
      </c>
      <c r="N34" s="43"/>
      <c r="O34" s="74"/>
      <c r="P34" s="43"/>
      <c r="Q34" s="46"/>
      <c r="R34" s="43"/>
      <c r="S34" s="74"/>
      <c r="T34" s="43"/>
      <c r="U34" s="46"/>
      <c r="V34" s="43"/>
      <c r="W34" s="101"/>
      <c r="X34" s="102"/>
      <c r="Y34" s="46"/>
      <c r="AA34" s="74"/>
      <c r="AB34" s="43"/>
      <c r="AC34" s="46"/>
      <c r="AE34" s="74"/>
      <c r="AF34" s="43"/>
      <c r="AG34" s="46"/>
      <c r="AI34" s="74"/>
      <c r="AJ34" s="43"/>
      <c r="AK34" s="46"/>
    </row>
    <row r="35" spans="1:37" s="36" customFormat="1" ht="20.25" x14ac:dyDescent="0.3">
      <c r="A35" s="14" t="s">
        <v>29</v>
      </c>
      <c r="B35" s="43"/>
      <c r="C35" s="74"/>
      <c r="D35" s="43"/>
      <c r="E35" s="105">
        <f>E30-E32-E33-E34</f>
        <v>0</v>
      </c>
      <c r="F35" s="43"/>
      <c r="G35" s="43"/>
      <c r="H35" s="43"/>
      <c r="I35" s="105">
        <f>I30-I32-I33-I34</f>
        <v>14510.18</v>
      </c>
      <c r="J35" s="43"/>
      <c r="K35" s="43"/>
      <c r="L35" s="43"/>
      <c r="M35" s="105">
        <f>M30-M32-M33-M34</f>
        <v>-1.0000000002037268E-3</v>
      </c>
      <c r="N35" s="43"/>
      <c r="O35" s="43"/>
      <c r="P35" s="43"/>
      <c r="Q35" s="105">
        <f>Q30-Q32-Q33-Q34</f>
        <v>-3.9999999999054126E-3</v>
      </c>
      <c r="R35" s="43"/>
      <c r="S35" s="43"/>
      <c r="T35" s="43"/>
      <c r="U35" s="105">
        <f>U30-U32-U33-U34</f>
        <v>-1.9999999994979589E-3</v>
      </c>
      <c r="V35" s="43"/>
      <c r="W35" s="43"/>
      <c r="X35" s="43"/>
      <c r="Y35" s="105">
        <f>Y30-Y32-Y33-Y34</f>
        <v>1680.6000000000004</v>
      </c>
      <c r="AA35" s="43"/>
      <c r="AB35" s="43"/>
      <c r="AC35" s="105">
        <f>AC30-AC32-AC33-AC34</f>
        <v>2.0000000040454324E-4</v>
      </c>
      <c r="AE35" s="43"/>
      <c r="AF35" s="43"/>
      <c r="AG35" s="105">
        <f>AG30-AG32-AG33-AG34</f>
        <v>0</v>
      </c>
      <c r="AI35" s="43"/>
      <c r="AJ35" s="43"/>
      <c r="AK35" s="105">
        <f>AK30-AK32-AK33-AK34</f>
        <v>0</v>
      </c>
    </row>
    <row r="36" spans="1:37" ht="15" x14ac:dyDescent="0.2">
      <c r="A36" s="14"/>
      <c r="B36" s="15"/>
      <c r="C36" s="14"/>
      <c r="D36" s="14"/>
      <c r="E36" s="14"/>
      <c r="F36" s="14"/>
      <c r="G36" s="107"/>
      <c r="H36" s="14"/>
      <c r="J36" s="108"/>
      <c r="K36" s="108"/>
      <c r="L36" s="108"/>
      <c r="M36" s="108"/>
      <c r="N36" s="108"/>
      <c r="O36" s="109"/>
      <c r="P36" s="108"/>
      <c r="Q36" s="108"/>
      <c r="R36" s="108"/>
      <c r="S36" s="108"/>
      <c r="T36" s="108"/>
      <c r="U36" s="108"/>
      <c r="V36" s="108"/>
      <c r="W36" s="107"/>
    </row>
    <row r="37" spans="1:37" ht="15" customHeight="1" x14ac:dyDescent="0.2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72"/>
      <c r="P37" s="72"/>
      <c r="Q37" s="72"/>
      <c r="R37" s="14"/>
    </row>
    <row r="38" spans="1:37" ht="18.75" thickBot="1" x14ac:dyDescent="0.3">
      <c r="A38" s="64" t="s">
        <v>15</v>
      </c>
      <c r="C38" s="43"/>
      <c r="E38" s="187">
        <f>+C28+G28+K28+O28+S28+W28+AA28+AE28+AI28</f>
        <v>78814.655151515151</v>
      </c>
      <c r="F38" s="187"/>
      <c r="G38" s="187"/>
      <c r="H38" s="66" t="s">
        <v>7</v>
      </c>
      <c r="I38" s="14"/>
      <c r="J38" s="14"/>
      <c r="O38" s="72"/>
      <c r="P38" s="72"/>
      <c r="Q38" s="72"/>
      <c r="R38" s="14"/>
    </row>
    <row r="39" spans="1:37" s="36" customFormat="1" ht="21" thickBot="1" x14ac:dyDescent="0.35">
      <c r="A39" s="65" t="s">
        <v>20</v>
      </c>
      <c r="B39" s="45"/>
      <c r="C39" s="45"/>
      <c r="D39" s="45"/>
      <c r="E39" s="176">
        <f>E30+I30+M30+Q30+U30+Y30+AC30+AG30+AK30</f>
        <v>86510.210200000001</v>
      </c>
      <c r="F39" s="177"/>
      <c r="G39" s="177"/>
      <c r="H39" s="67" t="s">
        <v>5</v>
      </c>
      <c r="M39" s="104"/>
      <c r="O39" s="72"/>
      <c r="P39" s="72"/>
      <c r="Q39" s="72"/>
    </row>
    <row r="40" spans="1:37" s="36" customFormat="1" ht="20.25" x14ac:dyDescent="0.3">
      <c r="A40" s="14" t="s">
        <v>21</v>
      </c>
      <c r="B40" s="80"/>
      <c r="C40" s="80"/>
      <c r="D40" s="80"/>
      <c r="E40" s="192">
        <f>SUM(E32:E34,I32:I34,M32:M34,Q32:Q34,U32:U34,Y32:Y34,AC32:AC34,AG32:AG34,AK32:AK34)</f>
        <v>70319.437000000005</v>
      </c>
      <c r="F40" s="192"/>
      <c r="G40" s="192"/>
      <c r="H40" s="66" t="s">
        <v>5</v>
      </c>
      <c r="O40" s="72"/>
      <c r="P40" s="72"/>
      <c r="Q40" s="72"/>
    </row>
    <row r="41" spans="1:37" s="36" customFormat="1" ht="20.25" x14ac:dyDescent="0.3">
      <c r="A41" s="14" t="s">
        <v>22</v>
      </c>
      <c r="B41" s="80"/>
      <c r="C41" s="80"/>
      <c r="D41" s="80"/>
      <c r="E41" s="193">
        <f>SUM(E35,I35,M35,Q35,U35,Y35,AC35,AG35,AK35)</f>
        <v>16190.7732</v>
      </c>
      <c r="F41" s="193"/>
      <c r="G41" s="193"/>
      <c r="H41" s="66" t="s">
        <v>5</v>
      </c>
      <c r="O41" s="111"/>
      <c r="P41" s="72"/>
      <c r="Q41" s="72"/>
    </row>
    <row r="42" spans="1:37" ht="15.75" x14ac:dyDescent="0.25">
      <c r="A42" s="14"/>
      <c r="B42" s="15"/>
      <c r="C42" s="31"/>
      <c r="D42" s="17"/>
      <c r="E42" s="31"/>
      <c r="F42" s="17"/>
      <c r="G42" s="17"/>
      <c r="H42" s="14"/>
      <c r="I42" s="14"/>
      <c r="J42" s="14"/>
      <c r="K42" s="14"/>
      <c r="L42" s="14"/>
      <c r="M42" s="14"/>
      <c r="N42" s="14"/>
      <c r="O42" s="72"/>
      <c r="P42" s="72"/>
      <c r="Q42" s="72"/>
      <c r="R42" s="14"/>
    </row>
    <row r="43" spans="1:37" ht="15.75" thickBot="1" x14ac:dyDescent="0.25">
      <c r="A43" s="14"/>
      <c r="B43" s="15"/>
      <c r="C43" s="14"/>
      <c r="D43" s="14"/>
      <c r="E43" s="14"/>
      <c r="F43" s="14"/>
      <c r="G43" s="14"/>
      <c r="H43" s="14"/>
      <c r="K43" s="14"/>
      <c r="L43" s="14"/>
      <c r="N43" s="14"/>
      <c r="O43" s="12"/>
      <c r="P43" s="14"/>
      <c r="R43" s="14"/>
    </row>
    <row r="44" spans="1:37" ht="18" x14ac:dyDescent="0.25">
      <c r="A44" s="172" t="s">
        <v>18</v>
      </c>
      <c r="B44" s="173"/>
      <c r="C44" s="68"/>
      <c r="D44" s="68"/>
      <c r="E44" s="68"/>
      <c r="F44" s="68"/>
      <c r="G44" s="37"/>
      <c r="H44" s="91"/>
      <c r="I44" s="91"/>
      <c r="J44" s="93"/>
      <c r="K44" s="94"/>
      <c r="N44" s="42"/>
      <c r="O44" s="112"/>
      <c r="P44" s="42"/>
      <c r="Q44" s="14"/>
      <c r="S44" s="14"/>
    </row>
    <row r="45" spans="1:37" ht="7.5" customHeight="1" x14ac:dyDescent="0.25">
      <c r="A45" s="89"/>
      <c r="B45" s="90"/>
      <c r="C45" s="88"/>
      <c r="D45" s="88"/>
      <c r="E45" s="88"/>
      <c r="F45" s="88"/>
      <c r="G45" s="14"/>
      <c r="H45" s="92"/>
      <c r="I45" s="92"/>
      <c r="K45" s="41"/>
      <c r="N45" s="42"/>
      <c r="O45" s="42"/>
      <c r="P45" s="42"/>
      <c r="Q45" s="14"/>
      <c r="S45" s="14"/>
    </row>
    <row r="46" spans="1:37" ht="21" customHeight="1" x14ac:dyDescent="0.35">
      <c r="A46" s="162" t="s">
        <v>45</v>
      </c>
      <c r="B46" s="163"/>
      <c r="C46" s="164">
        <v>2260</v>
      </c>
      <c r="D46" s="165"/>
      <c r="E46" s="14" t="s">
        <v>7</v>
      </c>
      <c r="F46" s="30"/>
      <c r="G46" s="14"/>
      <c r="H46" s="35" t="s">
        <v>32</v>
      </c>
      <c r="I46" s="165">
        <v>2260</v>
      </c>
      <c r="J46" s="165"/>
      <c r="K46" s="38" t="s">
        <v>7</v>
      </c>
      <c r="L46" s="30"/>
      <c r="M46" s="8"/>
      <c r="N46" s="8"/>
      <c r="O46" s="14"/>
      <c r="Q46" s="14"/>
      <c r="S46" s="14"/>
      <c r="W46" s="33"/>
      <c r="X46" s="33"/>
      <c r="Y46" s="33"/>
    </row>
    <row r="47" spans="1:37" ht="21" customHeight="1" x14ac:dyDescent="0.35">
      <c r="A47" s="83"/>
      <c r="B47" s="84" t="s">
        <v>60</v>
      </c>
      <c r="C47" s="164">
        <v>650</v>
      </c>
      <c r="D47" s="165"/>
      <c r="E47" s="14" t="s">
        <v>7</v>
      </c>
      <c r="F47" s="30"/>
      <c r="G47" s="14"/>
      <c r="H47" s="35" t="s">
        <v>32</v>
      </c>
      <c r="I47" s="165">
        <v>325</v>
      </c>
      <c r="J47" s="165"/>
      <c r="K47" s="38" t="s">
        <v>7</v>
      </c>
      <c r="L47" s="30"/>
      <c r="M47" s="8"/>
      <c r="N47" s="8"/>
      <c r="O47" s="14"/>
      <c r="Q47" s="14"/>
      <c r="S47" s="14"/>
      <c r="W47" s="33"/>
      <c r="X47" s="33"/>
      <c r="Y47" s="33"/>
    </row>
    <row r="48" spans="1:37" ht="9.75" customHeight="1" x14ac:dyDescent="0.35">
      <c r="A48" s="83"/>
      <c r="B48" s="84"/>
      <c r="C48" s="85"/>
      <c r="D48" s="86"/>
      <c r="E48" s="14"/>
      <c r="F48" s="30"/>
      <c r="H48" s="35"/>
      <c r="I48" s="30"/>
      <c r="J48" s="30"/>
      <c r="K48" s="38"/>
      <c r="L48" s="30"/>
      <c r="M48" s="8"/>
      <c r="N48" s="8"/>
      <c r="O48" s="14"/>
      <c r="Q48" s="14"/>
      <c r="S48" s="14"/>
      <c r="W48" s="33"/>
      <c r="X48" s="33"/>
      <c r="Y48" s="33"/>
    </row>
    <row r="49" spans="1:24" ht="18.75" thickBot="1" x14ac:dyDescent="0.3">
      <c r="A49" s="162" t="s">
        <v>31</v>
      </c>
      <c r="B49" s="163"/>
      <c r="C49" s="166">
        <v>0.13</v>
      </c>
      <c r="D49" s="167"/>
      <c r="E49" s="17"/>
      <c r="F49" s="17"/>
      <c r="H49" s="35"/>
      <c r="I49" s="16"/>
      <c r="J49" s="17"/>
      <c r="K49" s="38"/>
      <c r="L49" s="16"/>
      <c r="M49" s="171"/>
      <c r="N49" s="171"/>
      <c r="O49" s="14"/>
      <c r="P49" s="16"/>
      <c r="Q49" s="14"/>
      <c r="S49" s="14"/>
    </row>
    <row r="50" spans="1:24" ht="20.25" customHeight="1" thickBot="1" x14ac:dyDescent="0.35">
      <c r="A50" s="162" t="s">
        <v>30</v>
      </c>
      <c r="B50" s="163"/>
      <c r="C50" s="164">
        <f>E38*C49</f>
        <v>10245.905169696971</v>
      </c>
      <c r="D50" s="165"/>
      <c r="E50" s="14" t="s">
        <v>7</v>
      </c>
      <c r="F50" s="14"/>
      <c r="H50" s="35" t="s">
        <v>32</v>
      </c>
      <c r="I50" s="165">
        <f>225+700+500+1100+1500</f>
        <v>4025</v>
      </c>
      <c r="J50" s="165"/>
      <c r="K50" s="38" t="s">
        <v>7</v>
      </c>
      <c r="L50" s="18"/>
      <c r="M50" s="54" t="s">
        <v>12</v>
      </c>
      <c r="N50" s="55"/>
      <c r="O50" s="55"/>
      <c r="P50" s="55"/>
      <c r="Q50" s="55"/>
      <c r="R50" s="55"/>
      <c r="S50" s="55"/>
      <c r="T50" s="55"/>
      <c r="U50" s="190">
        <f>E56+E39</f>
        <v>99666.11536969697</v>
      </c>
      <c r="V50" s="190"/>
      <c r="W50" s="190"/>
      <c r="X50" s="56" t="s">
        <v>5</v>
      </c>
    </row>
    <row r="51" spans="1:24" ht="15" x14ac:dyDescent="0.2">
      <c r="A51" s="40"/>
      <c r="B51" s="35"/>
      <c r="C51" s="34"/>
      <c r="D51" s="18"/>
      <c r="E51" s="14"/>
      <c r="F51" s="14"/>
      <c r="G51" s="14"/>
      <c r="H51" s="14"/>
      <c r="I51" s="18"/>
      <c r="J51" s="14"/>
      <c r="K51" s="38"/>
    </row>
    <row r="52" spans="1:24" ht="15" x14ac:dyDescent="0.2">
      <c r="A52" s="158" t="s">
        <v>13</v>
      </c>
      <c r="B52" s="159"/>
      <c r="C52" s="160">
        <f>C46+C50+C47</f>
        <v>13155.905169696971</v>
      </c>
      <c r="D52" s="160"/>
      <c r="E52" s="44" t="s">
        <v>7</v>
      </c>
      <c r="F52" s="14"/>
      <c r="G52" s="14"/>
      <c r="H52" s="35" t="s">
        <v>22</v>
      </c>
      <c r="I52" s="161">
        <f>C52-I46-I50</f>
        <v>6870.9051696969709</v>
      </c>
      <c r="J52" s="161"/>
      <c r="K52" s="38" t="s">
        <v>7</v>
      </c>
      <c r="L52" s="18"/>
      <c r="M52" s="14"/>
      <c r="N52" s="14"/>
      <c r="O52" s="14"/>
      <c r="P52" s="18"/>
      <c r="Q52" s="14"/>
      <c r="S52" s="14"/>
    </row>
    <row r="53" spans="1:24" ht="15" x14ac:dyDescent="0.2">
      <c r="A53" s="39"/>
      <c r="B53" s="15"/>
      <c r="C53" s="34"/>
      <c r="D53" s="18"/>
      <c r="E53" s="14"/>
      <c r="F53" s="14"/>
      <c r="G53" s="14"/>
      <c r="H53" s="35"/>
      <c r="I53" s="161"/>
      <c r="J53" s="161"/>
      <c r="K53" s="38"/>
      <c r="L53" s="18"/>
      <c r="M53" s="14"/>
      <c r="N53" s="14"/>
      <c r="O53" s="14"/>
      <c r="P53" s="18"/>
      <c r="Q53" s="81"/>
      <c r="R53" s="82"/>
      <c r="S53" s="81"/>
      <c r="T53" s="188"/>
      <c r="U53" s="189"/>
    </row>
    <row r="54" spans="1:24" ht="15.75" x14ac:dyDescent="0.2">
      <c r="A54" s="87"/>
      <c r="B54" s="35" t="s">
        <v>19</v>
      </c>
      <c r="F54" s="44"/>
      <c r="G54" s="24"/>
      <c r="H54" s="35"/>
      <c r="I54" s="161"/>
      <c r="J54" s="161"/>
      <c r="K54" s="38"/>
      <c r="S54" s="24"/>
    </row>
    <row r="55" spans="1:24" ht="15.75" thickBot="1" x14ac:dyDescent="0.25">
      <c r="A55" s="40"/>
      <c r="B55" s="15"/>
      <c r="C55" s="14"/>
      <c r="D55" s="14"/>
      <c r="E55" s="14"/>
      <c r="F55" s="14"/>
      <c r="G55" s="14"/>
      <c r="H55" s="14"/>
      <c r="I55" s="14"/>
      <c r="J55" s="14"/>
      <c r="K55" s="41"/>
      <c r="O55" s="14"/>
      <c r="P55" s="14"/>
      <c r="Q55" s="14"/>
      <c r="S55" s="14"/>
    </row>
    <row r="56" spans="1:24" s="36" customFormat="1" ht="21" thickBot="1" x14ac:dyDescent="0.35">
      <c r="A56" s="69" t="s">
        <v>14</v>
      </c>
      <c r="B56" s="70"/>
      <c r="C56" s="70"/>
      <c r="D56" s="70"/>
      <c r="E56" s="176">
        <f>C52-I53</f>
        <v>13155.905169696971</v>
      </c>
      <c r="F56" s="177"/>
      <c r="G56" s="177"/>
      <c r="H56" s="67" t="s">
        <v>5</v>
      </c>
      <c r="I56" s="95"/>
      <c r="J56" s="95"/>
      <c r="K56" s="96"/>
    </row>
  </sheetData>
  <mergeCells count="55">
    <mergeCell ref="T53:U53"/>
    <mergeCell ref="A44:B44"/>
    <mergeCell ref="W17:Y17"/>
    <mergeCell ref="W18:Y18"/>
    <mergeCell ref="U50:W50"/>
    <mergeCell ref="A30:B30"/>
    <mergeCell ref="E40:G40"/>
    <mergeCell ref="E41:G41"/>
    <mergeCell ref="S17:U17"/>
    <mergeCell ref="S18:U18"/>
    <mergeCell ref="C17:E17"/>
    <mergeCell ref="C18:E18"/>
    <mergeCell ref="O17:Q17"/>
    <mergeCell ref="O18:Q18"/>
    <mergeCell ref="I53:J53"/>
    <mergeCell ref="I46:J46"/>
    <mergeCell ref="E56:G56"/>
    <mergeCell ref="E39:G39"/>
    <mergeCell ref="E38:G38"/>
    <mergeCell ref="A52:B52"/>
    <mergeCell ref="A50:B50"/>
    <mergeCell ref="A46:B46"/>
    <mergeCell ref="C46:D46"/>
    <mergeCell ref="I54:J54"/>
    <mergeCell ref="A10:C10"/>
    <mergeCell ref="A12:C12"/>
    <mergeCell ref="C49:D49"/>
    <mergeCell ref="C50:D50"/>
    <mergeCell ref="A49:B49"/>
    <mergeCell ref="I50:J50"/>
    <mergeCell ref="C52:D52"/>
    <mergeCell ref="I52:J52"/>
    <mergeCell ref="D10:AK10"/>
    <mergeCell ref="D12:AK12"/>
    <mergeCell ref="A22:B22"/>
    <mergeCell ref="C47:D47"/>
    <mergeCell ref="I47:J47"/>
    <mergeCell ref="S14:T14"/>
    <mergeCell ref="M49:N49"/>
    <mergeCell ref="S23:U24"/>
    <mergeCell ref="O23:Q24"/>
    <mergeCell ref="K23:M24"/>
    <mergeCell ref="AI23:AK24"/>
    <mergeCell ref="A15:D15"/>
    <mergeCell ref="AA17:AC17"/>
    <mergeCell ref="AA18:AC18"/>
    <mergeCell ref="AE17:AG17"/>
    <mergeCell ref="AE18:AG18"/>
    <mergeCell ref="AI17:AK17"/>
    <mergeCell ref="AI18:AK18"/>
    <mergeCell ref="G18:I18"/>
    <mergeCell ref="K17:M17"/>
    <mergeCell ref="K18:M18"/>
    <mergeCell ref="G17:I17"/>
    <mergeCell ref="W23:Y24"/>
  </mergeCells>
  <pageMargins left="0.25" right="0.25" top="0.75" bottom="0.75" header="0.3" footer="0.3"/>
  <pageSetup paperSize="9" scale="36" orientation="landscape" r:id="rId1"/>
  <headerFooter scaleWithDoc="0">
    <oddHeader>&amp;R&amp;G</oddHead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0A71-22E3-4388-A366-3E96D6ED424B}">
  <sheetPr>
    <pageSetUpPr fitToPage="1"/>
  </sheetPr>
  <dimension ref="A1:AC77"/>
  <sheetViews>
    <sheetView showWhiteSpace="0" topLeftCell="A41" zoomScale="73" zoomScaleNormal="73" zoomScaleSheetLayoutView="40" zoomScalePageLayoutView="90" workbookViewId="0">
      <selection activeCell="G64" sqref="G64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2.85546875" style="3" customWidth="1"/>
    <col min="7" max="7" width="14.140625" style="3" customWidth="1"/>
    <col min="8" max="8" width="6.7109375" style="3" customWidth="1"/>
    <col min="9" max="9" width="14.140625" style="3" customWidth="1"/>
    <col min="10" max="10" width="2.85546875" style="3" customWidth="1"/>
    <col min="11" max="11" width="14.42578125" style="3" customWidth="1"/>
    <col min="12" max="12" width="6.7109375" style="3" customWidth="1"/>
    <col min="13" max="13" width="13.140625" style="3" customWidth="1"/>
    <col min="14" max="14" width="2.85546875" style="3" customWidth="1"/>
    <col min="15" max="15" width="14.28515625" style="3" customWidth="1"/>
    <col min="16" max="16" width="6.7109375" style="3" customWidth="1"/>
    <col min="17" max="17" width="14" style="3" customWidth="1"/>
    <col min="18" max="18" width="2.85546875" style="3" customWidth="1"/>
    <col min="19" max="19" width="14" style="3" customWidth="1"/>
    <col min="20" max="20" width="6.7109375" style="3" customWidth="1"/>
    <col min="21" max="21" width="14" style="3" customWidth="1"/>
    <col min="22" max="22" width="2.7109375" style="3" customWidth="1"/>
    <col min="23" max="23" width="14" style="3" customWidth="1"/>
    <col min="24" max="24" width="7.140625" style="3" customWidth="1"/>
    <col min="25" max="25" width="14" style="3" customWidth="1"/>
    <col min="26" max="26" width="2.85546875" style="3" customWidth="1"/>
    <col min="27" max="27" width="14" style="3" customWidth="1"/>
    <col min="28" max="28" width="11.5703125" style="3"/>
    <col min="29" max="29" width="14" style="3" customWidth="1"/>
    <col min="30" max="16384" width="11.5703125" style="3"/>
  </cols>
  <sheetData>
    <row r="1" spans="1:29" ht="30" x14ac:dyDescent="0.4">
      <c r="A1" s="50" t="s">
        <v>98</v>
      </c>
    </row>
    <row r="6" spans="1:29" ht="23.25" x14ac:dyDescent="0.2">
      <c r="A6" s="51" t="s">
        <v>2</v>
      </c>
      <c r="B6" s="1"/>
      <c r="C6" s="57" t="s">
        <v>34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29" ht="23.25" x14ac:dyDescent="0.2">
      <c r="A7" s="52" t="s">
        <v>3</v>
      </c>
      <c r="B7" s="4"/>
      <c r="C7" s="73" t="s">
        <v>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9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9" ht="20.25" customHeight="1" x14ac:dyDescent="0.2"/>
    <row r="10" spans="1:29" ht="20.100000000000001" customHeight="1" x14ac:dyDescent="0.2">
      <c r="A10" s="148" t="s">
        <v>16</v>
      </c>
      <c r="B10" s="149"/>
      <c r="C10" s="150"/>
      <c r="D10" s="151" t="s">
        <v>17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</row>
    <row r="11" spans="1:29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9" s="8" customFormat="1" ht="20.100000000000001" customHeight="1" x14ac:dyDescent="0.35">
      <c r="A12" s="153" t="s">
        <v>4</v>
      </c>
      <c r="B12" s="154"/>
      <c r="C12" s="155"/>
      <c r="D12" s="151" t="s">
        <v>37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</row>
    <row r="13" spans="1:29" s="8" customFormat="1" ht="20.100000000000001" customHeight="1" x14ac:dyDescent="0.35">
      <c r="A13" s="9"/>
      <c r="B13" s="10"/>
    </row>
    <row r="14" spans="1:29" s="8" customFormat="1" ht="23.25" x14ac:dyDescent="0.35">
      <c r="B14" s="11"/>
      <c r="Q14" s="53" t="s">
        <v>6</v>
      </c>
      <c r="S14" s="156">
        <v>46056</v>
      </c>
      <c r="T14" s="157"/>
    </row>
    <row r="15" spans="1:29" s="8" customFormat="1" ht="23.25" x14ac:dyDescent="0.35">
      <c r="A15" s="179" t="s">
        <v>99</v>
      </c>
      <c r="B15" s="179"/>
      <c r="C15" s="179"/>
      <c r="D15" s="179"/>
      <c r="O15" s="12"/>
    </row>
    <row r="16" spans="1:29" s="8" customFormat="1" ht="13.5" customHeight="1" x14ac:dyDescent="0.35">
      <c r="B16" s="11"/>
      <c r="O16" s="25"/>
    </row>
    <row r="17" spans="1:17" ht="19.5" customHeight="1" x14ac:dyDescent="0.4">
      <c r="A17" s="13"/>
      <c r="C17" s="175" t="s">
        <v>24</v>
      </c>
      <c r="D17" s="175"/>
      <c r="E17" s="175"/>
      <c r="F17" s="58"/>
      <c r="G17" s="175" t="s">
        <v>43</v>
      </c>
      <c r="H17" s="175"/>
      <c r="I17" s="175"/>
      <c r="J17" s="27"/>
      <c r="K17" s="175" t="s">
        <v>44</v>
      </c>
      <c r="L17" s="175"/>
      <c r="M17" s="175"/>
      <c r="O17" s="175" t="s">
        <v>48</v>
      </c>
      <c r="P17" s="175"/>
      <c r="Q17" s="175"/>
    </row>
    <row r="18" spans="1:17" ht="15" customHeight="1" x14ac:dyDescent="0.4">
      <c r="A18" s="13"/>
      <c r="C18" s="174" t="s">
        <v>38</v>
      </c>
      <c r="D18" s="174"/>
      <c r="E18" s="174"/>
      <c r="F18" s="59"/>
      <c r="G18" s="174" t="s">
        <v>25</v>
      </c>
      <c r="H18" s="174"/>
      <c r="I18" s="174"/>
      <c r="J18" s="22"/>
      <c r="K18" s="174" t="s">
        <v>58</v>
      </c>
      <c r="L18" s="174"/>
      <c r="M18" s="174"/>
      <c r="O18" s="174"/>
      <c r="P18" s="174"/>
      <c r="Q18" s="174"/>
    </row>
    <row r="19" spans="1:17" ht="10.5" customHeight="1" x14ac:dyDescent="0.4">
      <c r="A19" s="13"/>
      <c r="B19" s="2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O19" s="22"/>
      <c r="P19" s="22"/>
      <c r="Q19" s="22"/>
    </row>
    <row r="20" spans="1:17" ht="15.75" x14ac:dyDescent="0.2">
      <c r="A20" s="14"/>
      <c r="B20" s="15"/>
      <c r="C20" s="28" t="s">
        <v>0</v>
      </c>
      <c r="D20" s="28" t="s">
        <v>8</v>
      </c>
      <c r="E20" s="29" t="s">
        <v>1</v>
      </c>
      <c r="F20" s="16"/>
      <c r="G20" s="28" t="s">
        <v>0</v>
      </c>
      <c r="H20" s="28" t="s">
        <v>8</v>
      </c>
      <c r="I20" s="29" t="s">
        <v>1</v>
      </c>
      <c r="J20" s="29"/>
      <c r="K20" s="28" t="s">
        <v>0</v>
      </c>
      <c r="L20" s="28" t="s">
        <v>8</v>
      </c>
      <c r="M20" s="29" t="s">
        <v>1</v>
      </c>
      <c r="O20" s="28" t="s">
        <v>0</v>
      </c>
      <c r="P20" s="28" t="s">
        <v>8</v>
      </c>
      <c r="Q20" s="29" t="s">
        <v>1</v>
      </c>
    </row>
    <row r="21" spans="1:17" ht="15.75" thickBot="1" x14ac:dyDescent="0.25">
      <c r="A21" s="14"/>
      <c r="B21" s="15"/>
      <c r="C21" s="18"/>
      <c r="D21" s="14"/>
      <c r="E21" s="18"/>
      <c r="F21" s="18"/>
      <c r="G21" s="18"/>
      <c r="H21" s="14"/>
      <c r="I21" s="18"/>
      <c r="J21" s="18"/>
      <c r="K21" s="18"/>
      <c r="L21" s="14"/>
      <c r="M21" s="18"/>
      <c r="O21" s="18"/>
      <c r="P21" s="14"/>
      <c r="Q21" s="18"/>
    </row>
    <row r="22" spans="1:17" ht="18.75" thickBot="1" x14ac:dyDescent="0.3">
      <c r="A22" s="185" t="s">
        <v>9</v>
      </c>
      <c r="B22" s="186"/>
      <c r="C22" s="61"/>
      <c r="D22" s="119">
        <v>0.1</v>
      </c>
      <c r="E22" s="48">
        <f>C22*D22+C22</f>
        <v>0</v>
      </c>
      <c r="F22" s="47"/>
      <c r="G22" s="127">
        <f>9680.65+2486.9+1000</f>
        <v>13167.55</v>
      </c>
      <c r="H22" s="76">
        <v>0.1</v>
      </c>
      <c r="I22" s="48">
        <f>G22*H22+G22</f>
        <v>14484.305</v>
      </c>
      <c r="J22" s="18"/>
      <c r="K22" s="61"/>
      <c r="L22" s="75"/>
      <c r="M22" s="48">
        <f>K22*L22+K22</f>
        <v>0</v>
      </c>
      <c r="O22" s="61"/>
      <c r="P22" s="76">
        <v>0.1</v>
      </c>
      <c r="Q22" s="48">
        <f>O22*P22+O22</f>
        <v>0</v>
      </c>
    </row>
    <row r="23" spans="1:17" ht="21" customHeight="1" x14ac:dyDescent="0.25">
      <c r="A23" s="116"/>
      <c r="B23" s="116"/>
      <c r="C23" s="182" t="s">
        <v>132</v>
      </c>
      <c r="D23" s="182"/>
      <c r="E23" s="182"/>
      <c r="F23" s="18"/>
      <c r="G23" s="182" t="s">
        <v>130</v>
      </c>
      <c r="H23" s="182"/>
      <c r="I23" s="182"/>
      <c r="J23" s="18"/>
      <c r="K23" s="183"/>
      <c r="L23" s="183"/>
      <c r="M23" s="183"/>
      <c r="O23" s="182" t="s">
        <v>131</v>
      </c>
      <c r="P23" s="182"/>
      <c r="Q23" s="182"/>
    </row>
    <row r="24" spans="1:17" ht="15" x14ac:dyDescent="0.25">
      <c r="A24" s="99"/>
      <c r="C24" s="182"/>
      <c r="D24" s="182"/>
      <c r="E24" s="182"/>
      <c r="F24" s="122"/>
      <c r="G24" s="182"/>
      <c r="H24" s="182"/>
      <c r="I24" s="182"/>
      <c r="J24" s="122"/>
      <c r="K24" s="182"/>
      <c r="L24" s="182"/>
      <c r="M24" s="182"/>
      <c r="O24" s="182"/>
      <c r="P24" s="182"/>
      <c r="Q24" s="182"/>
    </row>
    <row r="25" spans="1:17" ht="15" x14ac:dyDescent="0.2">
      <c r="A25" s="14" t="s">
        <v>52</v>
      </c>
      <c r="B25" s="15"/>
      <c r="C25" s="63"/>
      <c r="D25" s="76">
        <v>0.1</v>
      </c>
      <c r="E25" s="71">
        <f>C25*D25+C25</f>
        <v>0</v>
      </c>
      <c r="F25" s="62"/>
      <c r="G25" s="63"/>
      <c r="H25" s="76">
        <v>0.1</v>
      </c>
      <c r="I25" s="71">
        <f>G25*H25+G25</f>
        <v>0</v>
      </c>
      <c r="J25" s="62"/>
      <c r="K25" s="63"/>
      <c r="L25" s="76">
        <v>0.1</v>
      </c>
      <c r="M25" s="19">
        <f>K25*L25+K25</f>
        <v>0</v>
      </c>
      <c r="O25" s="63"/>
      <c r="P25" s="76">
        <v>0.1</v>
      </c>
      <c r="Q25" s="71">
        <f>O25*P25+O25</f>
        <v>0</v>
      </c>
    </row>
    <row r="26" spans="1:17" ht="15.75" x14ac:dyDescent="0.25">
      <c r="A26" s="14" t="s">
        <v>33</v>
      </c>
      <c r="B26" s="15"/>
      <c r="C26" s="63"/>
      <c r="D26" s="76">
        <v>0.1</v>
      </c>
      <c r="E26" s="71">
        <f>C26*D26+C26</f>
        <v>0</v>
      </c>
      <c r="F26" s="62"/>
      <c r="G26" s="63"/>
      <c r="H26" s="76">
        <v>0.1</v>
      </c>
      <c r="I26" s="71">
        <f>G26*H26+G26</f>
        <v>0</v>
      </c>
      <c r="J26" s="62"/>
      <c r="K26" s="63"/>
      <c r="L26" s="76">
        <v>0.1</v>
      </c>
      <c r="M26" s="19">
        <f>K26*L26+K26</f>
        <v>0</v>
      </c>
      <c r="N26" s="110"/>
      <c r="O26" s="63"/>
      <c r="P26" s="76">
        <v>0.1</v>
      </c>
      <c r="Q26" s="71"/>
    </row>
    <row r="27" spans="1:17" ht="15.75" x14ac:dyDescent="0.25">
      <c r="A27" s="17"/>
      <c r="B27" s="15"/>
      <c r="C27" s="77"/>
      <c r="D27" s="18"/>
      <c r="E27" s="18"/>
      <c r="F27" s="18"/>
      <c r="G27" s="78"/>
      <c r="H27" s="78"/>
      <c r="I27" s="78"/>
      <c r="J27" s="78"/>
      <c r="K27" s="78"/>
      <c r="L27" s="78"/>
      <c r="M27" s="78"/>
      <c r="N27" s="107"/>
      <c r="O27" s="78"/>
      <c r="P27" s="78"/>
      <c r="Q27" s="78"/>
    </row>
    <row r="28" spans="1:17" s="99" customFormat="1" ht="15.75" x14ac:dyDescent="0.25">
      <c r="A28" s="97"/>
      <c r="B28" s="32" t="s">
        <v>10</v>
      </c>
      <c r="C28" s="98">
        <f>SUM(C21:C27)</f>
        <v>0</v>
      </c>
      <c r="D28" s="20"/>
      <c r="E28" s="20"/>
      <c r="F28" s="20"/>
      <c r="G28" s="98">
        <f>SUM(G21:G27)</f>
        <v>13167.55</v>
      </c>
      <c r="H28" s="20"/>
      <c r="I28" s="20"/>
      <c r="J28" s="20"/>
      <c r="K28" s="98">
        <f>SUM(K21:K27)</f>
        <v>0</v>
      </c>
      <c r="L28" s="20"/>
      <c r="M28" s="20"/>
      <c r="O28" s="98">
        <f>SUM(O21:O27)</f>
        <v>0</v>
      </c>
      <c r="P28" s="20"/>
      <c r="Q28" s="20"/>
    </row>
    <row r="29" spans="1:17" ht="15" x14ac:dyDescent="0.2">
      <c r="A29" s="14"/>
      <c r="B29" s="15"/>
      <c r="C29" s="14"/>
      <c r="D29" s="14"/>
      <c r="E29" s="14"/>
      <c r="F29" s="14"/>
    </row>
    <row r="30" spans="1:17" s="36" customFormat="1" ht="20.25" x14ac:dyDescent="0.3">
      <c r="A30" s="191" t="s">
        <v>11</v>
      </c>
      <c r="B30" s="191"/>
      <c r="C30" s="77"/>
      <c r="D30" s="77"/>
      <c r="E30" s="100">
        <f>SUM(E22:E27)</f>
        <v>0</v>
      </c>
      <c r="F30" s="77"/>
      <c r="G30" s="77"/>
      <c r="H30" s="77"/>
      <c r="I30" s="100">
        <f>SUM(I22:I27)</f>
        <v>14484.305</v>
      </c>
      <c r="J30" s="20"/>
      <c r="K30" s="77"/>
      <c r="L30" s="77"/>
      <c r="M30" s="100">
        <f>SUM(M22:M27)</f>
        <v>0</v>
      </c>
      <c r="O30" s="77"/>
      <c r="P30" s="77"/>
      <c r="Q30" s="100">
        <f>SUM(Q22:Q27)</f>
        <v>0</v>
      </c>
    </row>
    <row r="31" spans="1:17" s="36" customFormat="1" ht="21" thickBot="1" x14ac:dyDescent="0.3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O31" s="43"/>
      <c r="P31" s="43"/>
      <c r="Q31" s="43"/>
    </row>
    <row r="32" spans="1:17" s="36" customFormat="1" ht="21" thickBot="1" x14ac:dyDescent="0.35">
      <c r="A32" s="14" t="s">
        <v>28</v>
      </c>
      <c r="B32" s="43"/>
      <c r="C32" s="101"/>
      <c r="D32" s="3"/>
      <c r="E32" s="103"/>
      <c r="G32" s="74"/>
      <c r="H32" s="3"/>
      <c r="I32" s="46"/>
      <c r="J32" s="43"/>
      <c r="K32" s="74"/>
      <c r="L32" s="3"/>
      <c r="M32" s="103"/>
      <c r="O32" s="74"/>
      <c r="P32" s="43"/>
      <c r="Q32" s="46"/>
    </row>
    <row r="33" spans="1:23" s="36" customFormat="1" ht="21" thickBot="1" x14ac:dyDescent="0.35">
      <c r="A33" s="14"/>
      <c r="B33" s="43"/>
      <c r="C33" s="101"/>
      <c r="D33" s="3"/>
      <c r="E33" s="103"/>
      <c r="G33" s="101"/>
      <c r="H33" s="3"/>
      <c r="I33" s="103"/>
      <c r="J33" s="43"/>
      <c r="K33" s="101"/>
      <c r="L33" s="3"/>
      <c r="M33" s="103"/>
      <c r="O33" s="74"/>
      <c r="P33" s="43"/>
      <c r="Q33" s="46"/>
    </row>
    <row r="34" spans="1:23" s="36" customFormat="1" ht="21" thickBot="1" x14ac:dyDescent="0.35">
      <c r="A34" s="14"/>
      <c r="B34" s="43"/>
      <c r="C34" s="74"/>
      <c r="D34" s="43"/>
      <c r="E34" s="46"/>
      <c r="G34" s="74"/>
      <c r="H34" s="43"/>
      <c r="I34" s="46"/>
      <c r="J34" s="43"/>
      <c r="K34" s="101"/>
      <c r="L34" s="102"/>
      <c r="M34" s="46"/>
      <c r="O34" s="74"/>
      <c r="P34" s="43"/>
      <c r="Q34" s="46"/>
    </row>
    <row r="35" spans="1:23" s="36" customFormat="1" ht="20.25" x14ac:dyDescent="0.3">
      <c r="A35" s="14" t="s">
        <v>29</v>
      </c>
      <c r="B35" s="43"/>
      <c r="C35" s="43"/>
      <c r="D35" s="43"/>
      <c r="E35" s="105">
        <f>E30-E32-E33-E34</f>
        <v>0</v>
      </c>
      <c r="F35" s="43"/>
      <c r="G35" s="43"/>
      <c r="H35" s="43"/>
      <c r="I35" s="105">
        <f>I30-I32-I33-I34</f>
        <v>14484.305</v>
      </c>
      <c r="J35" s="43"/>
      <c r="K35" s="43"/>
      <c r="L35" s="43"/>
      <c r="M35" s="105">
        <f>M30-M32-M33-M34</f>
        <v>0</v>
      </c>
      <c r="O35" s="43"/>
      <c r="P35" s="43"/>
      <c r="Q35" s="105">
        <f>Q30-Q32-Q33-Q34</f>
        <v>0</v>
      </c>
    </row>
    <row r="36" spans="1:23" ht="15" x14ac:dyDescent="0.2">
      <c r="A36" s="14"/>
      <c r="B36" s="15"/>
      <c r="C36" s="14"/>
      <c r="D36" s="14"/>
      <c r="E36" s="14"/>
      <c r="F36" s="14"/>
      <c r="G36" s="107"/>
      <c r="H36" s="14"/>
      <c r="J36" s="108"/>
      <c r="K36" s="108"/>
      <c r="L36" s="108"/>
      <c r="M36" s="108"/>
      <c r="N36" s="108"/>
      <c r="O36" s="109"/>
      <c r="P36" s="108"/>
      <c r="Q36" s="108"/>
      <c r="R36" s="108"/>
      <c r="S36" s="108"/>
      <c r="T36" s="108"/>
      <c r="U36" s="108"/>
      <c r="V36" s="108"/>
      <c r="W36" s="107"/>
    </row>
    <row r="37" spans="1:23" ht="15" customHeight="1" x14ac:dyDescent="0.2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72"/>
      <c r="P37" s="72"/>
      <c r="Q37" s="72"/>
      <c r="R37" s="14"/>
    </row>
    <row r="38" spans="1:23" ht="18.75" thickBot="1" x14ac:dyDescent="0.3">
      <c r="A38" s="64" t="s">
        <v>15</v>
      </c>
      <c r="C38" s="43"/>
      <c r="E38" s="187">
        <f>C28+G28+K28+O28</f>
        <v>13167.55</v>
      </c>
      <c r="F38" s="187"/>
      <c r="G38" s="187"/>
      <c r="H38" s="66" t="s">
        <v>7</v>
      </c>
      <c r="I38" s="14"/>
      <c r="J38" s="14"/>
      <c r="O38" s="72"/>
      <c r="P38" s="72"/>
      <c r="Q38" s="72"/>
      <c r="R38" s="14"/>
    </row>
    <row r="39" spans="1:23" s="36" customFormat="1" ht="21" thickBot="1" x14ac:dyDescent="0.35">
      <c r="A39" s="65" t="s">
        <v>20</v>
      </c>
      <c r="B39" s="45"/>
      <c r="C39" s="45"/>
      <c r="D39" s="45"/>
      <c r="E39" s="176">
        <f>E30+I30+M30+Q30</f>
        <v>14484.305</v>
      </c>
      <c r="F39" s="177"/>
      <c r="G39" s="177"/>
      <c r="H39" s="67" t="s">
        <v>5</v>
      </c>
      <c r="M39" s="104"/>
      <c r="O39" s="72"/>
      <c r="P39" s="72"/>
      <c r="Q39" s="72"/>
    </row>
    <row r="40" spans="1:23" s="36" customFormat="1" ht="20.25" x14ac:dyDescent="0.3">
      <c r="A40" s="14" t="s">
        <v>21</v>
      </c>
      <c r="B40" s="80"/>
      <c r="C40" s="80"/>
      <c r="D40" s="80"/>
      <c r="E40" s="192">
        <f>SUM(E32:E34,I32:I34,M32:M34,Q32:Q34)</f>
        <v>0</v>
      </c>
      <c r="F40" s="192"/>
      <c r="G40" s="192"/>
      <c r="H40" s="66" t="s">
        <v>5</v>
      </c>
      <c r="O40" s="72"/>
      <c r="P40" s="72"/>
      <c r="Q40" s="72"/>
    </row>
    <row r="41" spans="1:23" s="36" customFormat="1" ht="20.25" x14ac:dyDescent="0.3">
      <c r="A41" s="14" t="s">
        <v>22</v>
      </c>
      <c r="B41" s="80"/>
      <c r="C41" s="80"/>
      <c r="D41" s="80"/>
      <c r="E41" s="193">
        <f>SUM(E35,I35,M35,Q35)</f>
        <v>14484.305</v>
      </c>
      <c r="F41" s="193"/>
      <c r="G41" s="193"/>
      <c r="H41" s="66" t="s">
        <v>5</v>
      </c>
      <c r="O41" s="111"/>
      <c r="P41" s="72"/>
      <c r="Q41" s="72"/>
    </row>
    <row r="42" spans="1:23" ht="15.75" x14ac:dyDescent="0.25">
      <c r="A42" s="14"/>
      <c r="B42" s="15"/>
      <c r="C42" s="31"/>
      <c r="D42" s="17"/>
      <c r="E42" s="31"/>
      <c r="F42" s="17"/>
      <c r="G42" s="17"/>
      <c r="H42" s="14"/>
      <c r="I42" s="14"/>
      <c r="J42" s="14"/>
      <c r="K42" s="14"/>
      <c r="L42" s="14"/>
      <c r="M42" s="14"/>
      <c r="N42" s="14"/>
      <c r="O42" s="72"/>
      <c r="P42" s="72"/>
      <c r="Q42" s="72"/>
      <c r="R42" s="14"/>
    </row>
    <row r="62" spans="2:7" x14ac:dyDescent="0.2">
      <c r="B62" s="145" t="s">
        <v>194</v>
      </c>
      <c r="G62" s="3" t="s">
        <v>199</v>
      </c>
    </row>
    <row r="63" spans="2:7" x14ac:dyDescent="0.2">
      <c r="B63" s="145" t="s">
        <v>195</v>
      </c>
      <c r="G63" s="3" t="s">
        <v>202</v>
      </c>
    </row>
    <row r="64" spans="2:7" x14ac:dyDescent="0.2">
      <c r="B64" s="145" t="s">
        <v>190</v>
      </c>
    </row>
    <row r="65" spans="2:2" x14ac:dyDescent="0.2">
      <c r="B65" s="145" t="s">
        <v>191</v>
      </c>
    </row>
    <row r="66" spans="2:2" x14ac:dyDescent="0.2">
      <c r="B66" s="145" t="s">
        <v>192</v>
      </c>
    </row>
    <row r="67" spans="2:2" x14ac:dyDescent="0.2">
      <c r="B67" s="145" t="s">
        <v>193</v>
      </c>
    </row>
    <row r="68" spans="2:2" x14ac:dyDescent="0.2">
      <c r="B68" s="145" t="s">
        <v>196</v>
      </c>
    </row>
    <row r="69" spans="2:2" x14ac:dyDescent="0.2">
      <c r="B69" s="145" t="s">
        <v>201</v>
      </c>
    </row>
    <row r="70" spans="2:2" x14ac:dyDescent="0.2">
      <c r="B70" s="145" t="s">
        <v>204</v>
      </c>
    </row>
    <row r="73" spans="2:2" x14ac:dyDescent="0.2">
      <c r="B73" s="146" t="s">
        <v>197</v>
      </c>
    </row>
    <row r="74" spans="2:2" x14ac:dyDescent="0.2">
      <c r="B74" s="146" t="s">
        <v>198</v>
      </c>
    </row>
    <row r="75" spans="2:2" x14ac:dyDescent="0.2">
      <c r="B75" s="146" t="s">
        <v>200</v>
      </c>
    </row>
    <row r="76" spans="2:2" x14ac:dyDescent="0.2">
      <c r="B76" s="147"/>
    </row>
    <row r="77" spans="2:2" x14ac:dyDescent="0.2">
      <c r="B77" s="146" t="s">
        <v>203</v>
      </c>
    </row>
  </sheetData>
  <mergeCells count="24">
    <mergeCell ref="E41:G41"/>
    <mergeCell ref="O18:Q18"/>
    <mergeCell ref="A22:B22"/>
    <mergeCell ref="O23:Q24"/>
    <mergeCell ref="G23:I24"/>
    <mergeCell ref="K23:M24"/>
    <mergeCell ref="C23:E24"/>
    <mergeCell ref="A30:B30"/>
    <mergeCell ref="E38:G38"/>
    <mergeCell ref="E39:G39"/>
    <mergeCell ref="E40:G40"/>
    <mergeCell ref="O17:Q17"/>
    <mergeCell ref="C18:E18"/>
    <mergeCell ref="G18:I18"/>
    <mergeCell ref="K18:M18"/>
    <mergeCell ref="C17:E17"/>
    <mergeCell ref="G17:I17"/>
    <mergeCell ref="K17:M17"/>
    <mergeCell ref="A15:D15"/>
    <mergeCell ref="A10:C10"/>
    <mergeCell ref="D10:AC10"/>
    <mergeCell ref="A12:C12"/>
    <mergeCell ref="D12:AC12"/>
    <mergeCell ref="S14:T14"/>
  </mergeCells>
  <pageMargins left="0.25" right="0.25" top="0.75" bottom="0.75" header="0.3" footer="0.3"/>
  <pageSetup paperSize="9" scale="36" orientation="landscape" r:id="rId1"/>
  <headerFooter scaleWithDoc="0">
    <oddHeader>&amp;R&amp;G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8020-2A66-42C1-BD3F-09093ECF8857}">
  <sheetPr>
    <pageSetUpPr fitToPage="1"/>
  </sheetPr>
  <dimension ref="A1:Y42"/>
  <sheetViews>
    <sheetView showWhiteSpace="0" zoomScale="73" zoomScaleNormal="73" zoomScaleSheetLayoutView="40" zoomScalePageLayoutView="90" workbookViewId="0">
      <selection activeCell="N2" sqref="N2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2.85546875" style="3" customWidth="1"/>
    <col min="7" max="7" width="14.140625" style="3" customWidth="1"/>
    <col min="8" max="8" width="6.7109375" style="3" customWidth="1"/>
    <col min="9" max="9" width="14.140625" style="3" customWidth="1"/>
    <col min="10" max="10" width="2.85546875" style="3" customWidth="1"/>
    <col min="11" max="11" width="14.28515625" style="3" customWidth="1"/>
    <col min="12" max="12" width="6.7109375" style="3" customWidth="1"/>
    <col min="13" max="13" width="14" style="3" customWidth="1"/>
    <col min="14" max="14" width="2.85546875" style="3" customWidth="1"/>
    <col min="15" max="15" width="14" style="3" customWidth="1"/>
    <col min="16" max="16" width="6.7109375" style="3" customWidth="1"/>
    <col min="17" max="17" width="14" style="3" customWidth="1"/>
    <col min="18" max="18" width="2.7109375" style="3" customWidth="1"/>
    <col min="19" max="19" width="14" style="3" customWidth="1"/>
    <col min="20" max="20" width="7.140625" style="3" customWidth="1"/>
    <col min="21" max="21" width="14" style="3" customWidth="1"/>
    <col min="22" max="22" width="2.85546875" style="3" customWidth="1"/>
    <col min="23" max="23" width="14" style="3" customWidth="1"/>
    <col min="24" max="24" width="11.5703125" style="3"/>
    <col min="25" max="25" width="14" style="3" customWidth="1"/>
    <col min="26" max="16384" width="11.5703125" style="3"/>
  </cols>
  <sheetData>
    <row r="1" spans="1:25" ht="30" x14ac:dyDescent="0.4">
      <c r="A1" s="50" t="s">
        <v>100</v>
      </c>
    </row>
    <row r="6" spans="1:25" ht="23.25" x14ac:dyDescent="0.2">
      <c r="A6" s="51" t="s">
        <v>2</v>
      </c>
      <c r="B6" s="1"/>
      <c r="C6" s="57" t="s">
        <v>34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23.25" x14ac:dyDescent="0.2">
      <c r="A7" s="52" t="s">
        <v>3</v>
      </c>
      <c r="B7" s="4"/>
      <c r="C7" s="73" t="s">
        <v>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25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5" ht="20.25" customHeight="1" x14ac:dyDescent="0.2"/>
    <row r="10" spans="1:25" ht="20.100000000000001" customHeight="1" x14ac:dyDescent="0.2">
      <c r="A10" s="148" t="s">
        <v>16</v>
      </c>
      <c r="B10" s="149"/>
      <c r="C10" s="150"/>
      <c r="D10" s="151" t="s">
        <v>17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1:25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25" s="8" customFormat="1" ht="20.100000000000001" customHeight="1" x14ac:dyDescent="0.35">
      <c r="A12" s="153" t="s">
        <v>4</v>
      </c>
      <c r="B12" s="154"/>
      <c r="C12" s="155"/>
      <c r="D12" s="151" t="s">
        <v>37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</row>
    <row r="13" spans="1:25" s="8" customFormat="1" ht="20.100000000000001" customHeight="1" x14ac:dyDescent="0.35">
      <c r="A13" s="9"/>
      <c r="B13" s="10"/>
    </row>
    <row r="14" spans="1:25" s="8" customFormat="1" ht="23.25" x14ac:dyDescent="0.35">
      <c r="B14" s="11"/>
      <c r="M14" s="53" t="s">
        <v>6</v>
      </c>
      <c r="O14" s="156">
        <v>46056</v>
      </c>
      <c r="P14" s="157"/>
    </row>
    <row r="15" spans="1:25" s="8" customFormat="1" ht="23.25" x14ac:dyDescent="0.35">
      <c r="A15" s="179" t="s">
        <v>101</v>
      </c>
      <c r="B15" s="179"/>
      <c r="C15" s="179"/>
      <c r="D15" s="179"/>
      <c r="K15" s="12"/>
    </row>
    <row r="16" spans="1:25" s="8" customFormat="1" ht="13.5" customHeight="1" x14ac:dyDescent="0.35">
      <c r="B16" s="11"/>
      <c r="K16" s="25"/>
    </row>
    <row r="17" spans="1:25" ht="19.5" customHeight="1" x14ac:dyDescent="0.4">
      <c r="A17" s="13"/>
      <c r="C17" s="175" t="s">
        <v>23</v>
      </c>
      <c r="D17" s="175"/>
      <c r="E17" s="175"/>
      <c r="F17" s="58"/>
      <c r="G17" s="175" t="s">
        <v>24</v>
      </c>
      <c r="H17" s="175"/>
      <c r="I17" s="175"/>
      <c r="J17" s="58"/>
      <c r="K17" s="175" t="s">
        <v>39</v>
      </c>
      <c r="L17" s="175"/>
      <c r="M17" s="175"/>
      <c r="N17" s="58"/>
      <c r="O17" s="175" t="s">
        <v>43</v>
      </c>
      <c r="P17" s="175"/>
      <c r="Q17" s="175"/>
      <c r="R17" s="27"/>
      <c r="S17" s="175" t="s">
        <v>44</v>
      </c>
      <c r="T17" s="175"/>
      <c r="U17" s="175"/>
      <c r="W17" s="175" t="s">
        <v>48</v>
      </c>
      <c r="X17" s="175"/>
      <c r="Y17" s="175"/>
    </row>
    <row r="18" spans="1:25" ht="15" customHeight="1" x14ac:dyDescent="0.4">
      <c r="A18" s="13"/>
      <c r="C18" s="174" t="s">
        <v>51</v>
      </c>
      <c r="D18" s="174"/>
      <c r="E18" s="174"/>
      <c r="F18" s="59"/>
      <c r="G18" s="174" t="s">
        <v>38</v>
      </c>
      <c r="H18" s="174"/>
      <c r="I18" s="174"/>
      <c r="J18" s="59"/>
      <c r="K18" s="174" t="s">
        <v>42</v>
      </c>
      <c r="L18" s="174"/>
      <c r="M18" s="174"/>
      <c r="N18" s="59"/>
      <c r="O18" s="174" t="s">
        <v>25</v>
      </c>
      <c r="P18" s="174"/>
      <c r="Q18" s="174"/>
      <c r="R18" s="22"/>
      <c r="S18" s="174" t="s">
        <v>58</v>
      </c>
      <c r="T18" s="174"/>
      <c r="U18" s="174"/>
      <c r="W18" s="174"/>
      <c r="X18" s="174"/>
      <c r="Y18" s="174"/>
    </row>
    <row r="19" spans="1:25" ht="10.5" customHeight="1" x14ac:dyDescent="0.4">
      <c r="A19" s="13"/>
      <c r="B19" s="2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W19" s="22"/>
      <c r="X19" s="22"/>
      <c r="Y19" s="22"/>
    </row>
    <row r="20" spans="1:25" ht="15.75" x14ac:dyDescent="0.2">
      <c r="A20" s="14"/>
      <c r="B20" s="15"/>
      <c r="C20" s="28" t="s">
        <v>0</v>
      </c>
      <c r="D20" s="28" t="s">
        <v>8</v>
      </c>
      <c r="E20" s="29" t="s">
        <v>1</v>
      </c>
      <c r="F20" s="16"/>
      <c r="G20" s="28" t="s">
        <v>0</v>
      </c>
      <c r="H20" s="28" t="s">
        <v>8</v>
      </c>
      <c r="I20" s="29" t="s">
        <v>1</v>
      </c>
      <c r="J20" s="16"/>
      <c r="K20" s="28" t="s">
        <v>0</v>
      </c>
      <c r="L20" s="28" t="s">
        <v>8</v>
      </c>
      <c r="M20" s="29" t="s">
        <v>1</v>
      </c>
      <c r="N20" s="16"/>
      <c r="O20" s="28" t="s">
        <v>0</v>
      </c>
      <c r="P20" s="28" t="s">
        <v>8</v>
      </c>
      <c r="Q20" s="29" t="s">
        <v>1</v>
      </c>
      <c r="R20" s="29"/>
      <c r="S20" s="28" t="s">
        <v>0</v>
      </c>
      <c r="T20" s="28" t="s">
        <v>8</v>
      </c>
      <c r="U20" s="29" t="s">
        <v>1</v>
      </c>
      <c r="W20" s="28" t="s">
        <v>0</v>
      </c>
      <c r="X20" s="28" t="s">
        <v>8</v>
      </c>
      <c r="Y20" s="29" t="s">
        <v>1</v>
      </c>
    </row>
    <row r="21" spans="1:25" ht="15.75" thickBot="1" x14ac:dyDescent="0.25">
      <c r="A21" s="14"/>
      <c r="B21" s="15"/>
      <c r="C21" s="18"/>
      <c r="D21" s="14"/>
      <c r="E21" s="18"/>
      <c r="F21" s="18"/>
      <c r="G21" s="18"/>
      <c r="H21" s="14"/>
      <c r="I21" s="18"/>
      <c r="J21" s="18"/>
      <c r="K21" s="18"/>
      <c r="L21" s="14"/>
      <c r="M21" s="18"/>
      <c r="N21" s="18"/>
      <c r="O21" s="18"/>
      <c r="P21" s="14"/>
      <c r="Q21" s="18"/>
      <c r="R21" s="18"/>
      <c r="S21" s="18"/>
      <c r="T21" s="14"/>
      <c r="U21" s="18"/>
      <c r="W21" s="18"/>
      <c r="X21" s="14"/>
      <c r="Y21" s="18"/>
    </row>
    <row r="22" spans="1:25" ht="18.75" thickBot="1" x14ac:dyDescent="0.3">
      <c r="A22" s="185" t="s">
        <v>9</v>
      </c>
      <c r="B22" s="186"/>
      <c r="C22" s="61"/>
      <c r="D22" s="75">
        <v>0.1</v>
      </c>
      <c r="E22" s="46">
        <f>C22*D22+C22</f>
        <v>0</v>
      </c>
      <c r="F22" s="47"/>
      <c r="G22" s="61"/>
      <c r="H22" s="119"/>
      <c r="I22" s="103"/>
      <c r="J22" s="47"/>
      <c r="K22" s="61"/>
      <c r="L22" s="75">
        <v>0.1</v>
      </c>
      <c r="M22" s="46"/>
      <c r="N22" s="47"/>
      <c r="O22" s="127"/>
      <c r="P22" s="76">
        <v>0.1</v>
      </c>
      <c r="Q22" s="48">
        <f>O22*P22+O22</f>
        <v>0</v>
      </c>
      <c r="R22" s="18"/>
      <c r="S22" s="61"/>
      <c r="T22" s="75"/>
      <c r="U22" s="48"/>
      <c r="W22" s="61"/>
      <c r="X22" s="76">
        <v>0.1</v>
      </c>
      <c r="Y22" s="48">
        <f>W22*X22+W22</f>
        <v>0</v>
      </c>
    </row>
    <row r="23" spans="1:25" ht="21" customHeight="1" x14ac:dyDescent="0.25">
      <c r="A23" s="116"/>
      <c r="B23" s="116"/>
      <c r="C23" s="117"/>
      <c r="D23" s="76"/>
      <c r="F23" s="18"/>
      <c r="G23" s="117"/>
      <c r="H23" s="76"/>
      <c r="I23" s="23"/>
      <c r="J23" s="18"/>
      <c r="K23" s="183"/>
      <c r="L23" s="183"/>
      <c r="M23" s="183"/>
      <c r="N23" s="122"/>
      <c r="O23" s="182"/>
      <c r="P23" s="182"/>
      <c r="Q23" s="182"/>
      <c r="R23" s="18"/>
      <c r="S23" s="183"/>
      <c r="T23" s="183"/>
      <c r="U23" s="183"/>
      <c r="W23" s="184"/>
      <c r="X23" s="184"/>
      <c r="Y23" s="184"/>
    </row>
    <row r="24" spans="1:25" ht="15" x14ac:dyDescent="0.25">
      <c r="A24" s="99"/>
      <c r="C24" s="120"/>
      <c r="D24" s="121"/>
      <c r="E24" s="122"/>
      <c r="F24" s="122"/>
      <c r="G24" s="123"/>
      <c r="H24" s="121"/>
      <c r="I24" s="122"/>
      <c r="J24" s="122"/>
      <c r="K24" s="182"/>
      <c r="L24" s="182"/>
      <c r="M24" s="182"/>
      <c r="O24" s="182"/>
      <c r="P24" s="182"/>
      <c r="Q24" s="182"/>
      <c r="R24" s="122"/>
      <c r="S24" s="182"/>
      <c r="T24" s="182"/>
      <c r="U24" s="182"/>
      <c r="W24" s="184"/>
      <c r="X24" s="184"/>
      <c r="Y24" s="184"/>
    </row>
    <row r="25" spans="1:25" ht="15" x14ac:dyDescent="0.2">
      <c r="A25" s="14" t="s">
        <v>52</v>
      </c>
      <c r="B25" s="15"/>
      <c r="C25" s="63"/>
      <c r="D25" s="76">
        <v>0.1</v>
      </c>
      <c r="E25" s="71">
        <f>C25*D25+C25</f>
        <v>0</v>
      </c>
      <c r="F25" s="62"/>
      <c r="G25" s="63"/>
      <c r="H25" s="76">
        <v>0.1</v>
      </c>
      <c r="I25" s="71">
        <f>G25*H25+G25</f>
        <v>0</v>
      </c>
      <c r="J25" s="62"/>
      <c r="K25" s="63"/>
      <c r="L25" s="76">
        <v>0.1</v>
      </c>
      <c r="M25" s="71">
        <f>K25*L25+K25</f>
        <v>0</v>
      </c>
      <c r="N25" s="62"/>
      <c r="O25" s="63"/>
      <c r="P25" s="76">
        <v>0.1</v>
      </c>
      <c r="Q25" s="71">
        <f>O25*P25+O25</f>
        <v>0</v>
      </c>
      <c r="R25" s="62"/>
      <c r="S25" s="63"/>
      <c r="T25" s="76">
        <v>0.1</v>
      </c>
      <c r="U25" s="19">
        <f>S25*T25+S25</f>
        <v>0</v>
      </c>
      <c r="W25" s="63"/>
      <c r="X25" s="76">
        <v>0.1</v>
      </c>
      <c r="Y25" s="71">
        <f>W25*X25+W25</f>
        <v>0</v>
      </c>
    </row>
    <row r="26" spans="1:25" ht="15.75" x14ac:dyDescent="0.25">
      <c r="A26" s="14" t="s">
        <v>33</v>
      </c>
      <c r="B26" s="15"/>
      <c r="C26" s="63"/>
      <c r="D26" s="76">
        <v>0.1</v>
      </c>
      <c r="E26" s="71">
        <f>C26*D26+C26</f>
        <v>0</v>
      </c>
      <c r="F26" s="62"/>
      <c r="G26" s="63"/>
      <c r="H26" s="76">
        <v>0.1</v>
      </c>
      <c r="I26" s="71">
        <f>G26*H26+G26</f>
        <v>0</v>
      </c>
      <c r="J26" s="62"/>
      <c r="K26" s="63"/>
      <c r="L26" s="76">
        <v>0.1</v>
      </c>
      <c r="M26" s="71">
        <f>K26*L26+K26</f>
        <v>0</v>
      </c>
      <c r="N26" s="62"/>
      <c r="O26" s="63"/>
      <c r="P26" s="76">
        <v>0.1</v>
      </c>
      <c r="Q26" s="71">
        <f>O26*P26+O26</f>
        <v>0</v>
      </c>
      <c r="R26" s="62"/>
      <c r="S26" s="63"/>
      <c r="T26" s="76">
        <v>0.1</v>
      </c>
      <c r="U26" s="19">
        <f>S26*T26+S26</f>
        <v>0</v>
      </c>
      <c r="V26" s="110"/>
      <c r="W26" s="63"/>
      <c r="X26" s="76">
        <v>0.1</v>
      </c>
      <c r="Y26" s="71"/>
    </row>
    <row r="27" spans="1:25" ht="15.75" x14ac:dyDescent="0.25">
      <c r="A27" s="17"/>
      <c r="B27" s="15"/>
      <c r="C27" s="77"/>
      <c r="D27" s="18"/>
      <c r="E27" s="18"/>
      <c r="F27" s="18"/>
      <c r="G27" s="77"/>
      <c r="H27" s="18"/>
      <c r="I27" s="18"/>
      <c r="J27" s="18"/>
      <c r="K27" s="18"/>
      <c r="L27" s="77"/>
      <c r="M27" s="60"/>
      <c r="N27" s="18"/>
      <c r="O27" s="78"/>
      <c r="P27" s="78"/>
      <c r="Q27" s="78"/>
      <c r="R27" s="78"/>
      <c r="S27" s="78"/>
      <c r="T27" s="78"/>
      <c r="U27" s="78"/>
      <c r="V27" s="107"/>
      <c r="W27" s="78"/>
      <c r="X27" s="78"/>
      <c r="Y27" s="78"/>
    </row>
    <row r="28" spans="1:25" s="99" customFormat="1" ht="15.75" x14ac:dyDescent="0.25">
      <c r="A28" s="97"/>
      <c r="B28" s="32" t="s">
        <v>10</v>
      </c>
      <c r="C28" s="98">
        <f>SUM(C21:C27)</f>
        <v>0</v>
      </c>
      <c r="D28" s="20"/>
      <c r="E28" s="20"/>
      <c r="F28" s="20"/>
      <c r="G28" s="98">
        <f>SUM(G21:G27)</f>
        <v>0</v>
      </c>
      <c r="H28" s="20"/>
      <c r="I28" s="20"/>
      <c r="J28" s="20"/>
      <c r="K28" s="98">
        <f>SUM(K21:K27)</f>
        <v>0</v>
      </c>
      <c r="L28" s="20"/>
      <c r="M28" s="20"/>
      <c r="N28" s="20"/>
      <c r="O28" s="98">
        <f>SUM(O21:O27)</f>
        <v>0</v>
      </c>
      <c r="P28" s="20"/>
      <c r="Q28" s="20"/>
      <c r="R28" s="20"/>
      <c r="S28" s="98">
        <f>SUM(S21:S27)</f>
        <v>0</v>
      </c>
      <c r="T28" s="20"/>
      <c r="U28" s="20"/>
      <c r="W28" s="98">
        <f>SUM(W21:W27)</f>
        <v>0</v>
      </c>
      <c r="X28" s="20"/>
      <c r="Y28" s="20"/>
    </row>
    <row r="29" spans="1:25" ht="15" x14ac:dyDescent="0.2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N29" s="14"/>
    </row>
    <row r="30" spans="1:25" s="36" customFormat="1" ht="20.25" x14ac:dyDescent="0.3">
      <c r="A30" s="191" t="s">
        <v>11</v>
      </c>
      <c r="B30" s="191"/>
      <c r="C30" s="14"/>
      <c r="E30" s="100">
        <f>SUM(E22:E27)</f>
        <v>0</v>
      </c>
      <c r="F30" s="77"/>
      <c r="G30" s="77"/>
      <c r="H30" s="77"/>
      <c r="I30" s="100">
        <f>SUM(I22:I27)</f>
        <v>0</v>
      </c>
      <c r="J30" s="77"/>
      <c r="K30" s="77"/>
      <c r="L30" s="77"/>
      <c r="M30" s="100">
        <f>SUM(M22:M27)</f>
        <v>0</v>
      </c>
      <c r="N30" s="77"/>
      <c r="O30" s="77"/>
      <c r="P30" s="77"/>
      <c r="Q30" s="100">
        <f>SUM(Q22:Q27)</f>
        <v>0</v>
      </c>
      <c r="R30" s="20"/>
      <c r="S30" s="77"/>
      <c r="T30" s="77"/>
      <c r="U30" s="100">
        <f>SUM(U22:U27)</f>
        <v>0</v>
      </c>
      <c r="W30" s="77"/>
      <c r="X30" s="77"/>
      <c r="Y30" s="100">
        <f>SUM(Y22:Y27)</f>
        <v>0</v>
      </c>
    </row>
    <row r="31" spans="1:25" s="36" customFormat="1" ht="21" thickBot="1" x14ac:dyDescent="0.3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W31" s="43"/>
      <c r="X31" s="43"/>
      <c r="Y31" s="43"/>
    </row>
    <row r="32" spans="1:25" s="36" customFormat="1" ht="21" thickBot="1" x14ac:dyDescent="0.35">
      <c r="A32" s="14" t="s">
        <v>28</v>
      </c>
      <c r="B32" s="43"/>
      <c r="C32" s="74"/>
      <c r="D32" s="3"/>
      <c r="E32" s="46"/>
      <c r="F32" s="43"/>
      <c r="G32" s="101"/>
      <c r="H32" s="3"/>
      <c r="I32" s="103"/>
      <c r="K32" s="74"/>
      <c r="L32" s="3"/>
      <c r="M32" s="46"/>
      <c r="N32" s="43"/>
      <c r="O32" s="74"/>
      <c r="P32" s="3"/>
      <c r="Q32" s="46"/>
      <c r="R32" s="43"/>
      <c r="S32" s="74"/>
      <c r="T32" s="3"/>
      <c r="U32" s="103"/>
      <c r="W32" s="74"/>
      <c r="X32" s="43"/>
      <c r="Y32" s="46"/>
    </row>
    <row r="33" spans="1:25" s="36" customFormat="1" ht="21" thickBot="1" x14ac:dyDescent="0.35">
      <c r="A33" s="14"/>
      <c r="B33" s="43"/>
      <c r="C33" s="101"/>
      <c r="D33" s="3"/>
      <c r="E33" s="46"/>
      <c r="F33" s="43"/>
      <c r="G33" s="101"/>
      <c r="H33" s="3"/>
      <c r="I33" s="103"/>
      <c r="K33" s="74"/>
      <c r="L33" s="3"/>
      <c r="M33" s="46"/>
      <c r="N33" s="43"/>
      <c r="O33" s="101"/>
      <c r="P33" s="3"/>
      <c r="Q33" s="103"/>
      <c r="R33" s="43"/>
      <c r="S33" s="101"/>
      <c r="T33" s="3"/>
      <c r="U33" s="103"/>
      <c r="W33" s="74"/>
      <c r="X33" s="43"/>
      <c r="Y33" s="46"/>
    </row>
    <row r="34" spans="1:25" s="36" customFormat="1" ht="21" thickBot="1" x14ac:dyDescent="0.35">
      <c r="A34" s="14"/>
      <c r="B34" s="43"/>
      <c r="C34" s="74"/>
      <c r="D34" s="43"/>
      <c r="E34" s="46"/>
      <c r="F34" s="43"/>
      <c r="G34" s="74"/>
      <c r="H34" s="43"/>
      <c r="I34" s="46"/>
      <c r="K34" s="74"/>
      <c r="L34" s="43"/>
      <c r="M34" s="46"/>
      <c r="N34" s="43"/>
      <c r="O34" s="74"/>
      <c r="P34" s="43"/>
      <c r="Q34" s="46"/>
      <c r="R34" s="43"/>
      <c r="S34" s="101"/>
      <c r="T34" s="102"/>
      <c r="U34" s="46"/>
      <c r="W34" s="74"/>
      <c r="X34" s="43"/>
      <c r="Y34" s="46"/>
    </row>
    <row r="35" spans="1:25" s="36" customFormat="1" ht="20.25" x14ac:dyDescent="0.3">
      <c r="A35" s="14" t="s">
        <v>29</v>
      </c>
      <c r="B35" s="43"/>
      <c r="C35" s="74"/>
      <c r="D35" s="43"/>
      <c r="E35" s="105">
        <f>E30-E32-E33-E34</f>
        <v>0</v>
      </c>
      <c r="F35" s="43"/>
      <c r="G35" s="43"/>
      <c r="H35" s="43"/>
      <c r="I35" s="105">
        <f>I30-I32-I33-I34</f>
        <v>0</v>
      </c>
      <c r="J35" s="43"/>
      <c r="K35" s="43"/>
      <c r="L35" s="43"/>
      <c r="M35" s="105">
        <f>M30-M32-M33-M34</f>
        <v>0</v>
      </c>
      <c r="N35" s="43"/>
      <c r="O35" s="43"/>
      <c r="P35" s="43"/>
      <c r="Q35" s="105">
        <f>Q30-Q32-Q33-Q34</f>
        <v>0</v>
      </c>
      <c r="R35" s="43"/>
      <c r="S35" s="43"/>
      <c r="T35" s="43"/>
      <c r="U35" s="105">
        <f>U30-U32-U33-U34</f>
        <v>0</v>
      </c>
      <c r="W35" s="43"/>
      <c r="X35" s="43"/>
      <c r="Y35" s="105">
        <f>Y30-Y32-Y33-Y34</f>
        <v>0</v>
      </c>
    </row>
    <row r="36" spans="1:25" ht="15" x14ac:dyDescent="0.2">
      <c r="A36" s="14"/>
      <c r="B36" s="15"/>
      <c r="C36" s="14"/>
      <c r="D36" s="14"/>
      <c r="E36" s="14"/>
      <c r="F36" s="14"/>
      <c r="G36" s="107"/>
      <c r="H36" s="14"/>
      <c r="J36" s="108"/>
      <c r="K36" s="109"/>
      <c r="L36" s="108"/>
      <c r="M36" s="108"/>
      <c r="N36" s="108"/>
      <c r="O36" s="108"/>
      <c r="P36" s="108"/>
      <c r="Q36" s="108"/>
      <c r="R36" s="108"/>
      <c r="S36" s="107"/>
    </row>
    <row r="37" spans="1:25" ht="15" customHeight="1" x14ac:dyDescent="0.2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72"/>
      <c r="L37" s="72"/>
      <c r="M37" s="72"/>
      <c r="N37" s="14"/>
    </row>
    <row r="38" spans="1:25" ht="18.75" thickBot="1" x14ac:dyDescent="0.3">
      <c r="A38" s="64" t="s">
        <v>15</v>
      </c>
      <c r="C38" s="43"/>
      <c r="E38" s="187">
        <f>C28+G28+K28+O28+S28+W28</f>
        <v>0</v>
      </c>
      <c r="F38" s="187"/>
      <c r="G38" s="187"/>
      <c r="H38" s="66" t="s">
        <v>7</v>
      </c>
      <c r="I38" s="14"/>
      <c r="J38" s="14"/>
      <c r="K38" s="72"/>
      <c r="L38" s="72"/>
      <c r="M38" s="72"/>
      <c r="N38" s="14"/>
    </row>
    <row r="39" spans="1:25" s="36" customFormat="1" ht="21" thickBot="1" x14ac:dyDescent="0.35">
      <c r="A39" s="65" t="s">
        <v>20</v>
      </c>
      <c r="B39" s="45"/>
      <c r="C39" s="45"/>
      <c r="D39" s="45"/>
      <c r="E39" s="176">
        <f>E30+I30+M30+Q30+U30+Y30</f>
        <v>0</v>
      </c>
      <c r="F39" s="177"/>
      <c r="G39" s="177"/>
      <c r="H39" s="67" t="s">
        <v>5</v>
      </c>
      <c r="K39" s="72"/>
      <c r="L39" s="72"/>
      <c r="M39" s="72"/>
    </row>
    <row r="40" spans="1:25" s="36" customFormat="1" ht="20.25" x14ac:dyDescent="0.3">
      <c r="A40" s="14" t="s">
        <v>21</v>
      </c>
      <c r="B40" s="80"/>
      <c r="C40" s="80"/>
      <c r="D40" s="80"/>
      <c r="E40" s="192">
        <f>SUM(E32:E34,I32:I34,M32:M34,Q32:Q34,U32:U34,Y32:Y34)</f>
        <v>0</v>
      </c>
      <c r="F40" s="192"/>
      <c r="G40" s="192"/>
      <c r="H40" s="66" t="s">
        <v>5</v>
      </c>
      <c r="K40" s="72"/>
      <c r="L40" s="72"/>
      <c r="M40" s="72"/>
    </row>
    <row r="41" spans="1:25" s="36" customFormat="1" ht="20.25" x14ac:dyDescent="0.3">
      <c r="A41" s="14" t="s">
        <v>22</v>
      </c>
      <c r="B41" s="80"/>
      <c r="C41" s="80"/>
      <c r="D41" s="80"/>
      <c r="E41" s="193">
        <f>SUM(E35,I35,M35,Q35,U35,Y35)</f>
        <v>0</v>
      </c>
      <c r="F41" s="193"/>
      <c r="G41" s="193"/>
      <c r="H41" s="66" t="s">
        <v>5</v>
      </c>
      <c r="K41" s="111"/>
      <c r="L41" s="72"/>
      <c r="M41" s="72"/>
    </row>
    <row r="42" spans="1:25" ht="15.75" x14ac:dyDescent="0.25">
      <c r="A42" s="14"/>
      <c r="B42" s="15"/>
      <c r="C42" s="31"/>
      <c r="D42" s="17"/>
      <c r="E42" s="31"/>
      <c r="F42" s="17"/>
      <c r="G42" s="17"/>
      <c r="H42" s="14"/>
      <c r="I42" s="14"/>
      <c r="J42" s="14"/>
      <c r="K42" s="72"/>
      <c r="L42" s="72"/>
      <c r="M42" s="72"/>
      <c r="N42" s="14"/>
    </row>
  </sheetData>
  <mergeCells count="28">
    <mergeCell ref="A30:B30"/>
    <mergeCell ref="E38:G38"/>
    <mergeCell ref="E39:G39"/>
    <mergeCell ref="E40:G40"/>
    <mergeCell ref="E41:G41"/>
    <mergeCell ref="A22:B22"/>
    <mergeCell ref="K23:M24"/>
    <mergeCell ref="O23:Q24"/>
    <mergeCell ref="S23:U24"/>
    <mergeCell ref="W23:Y24"/>
    <mergeCell ref="W17:Y17"/>
    <mergeCell ref="C18:E18"/>
    <mergeCell ref="G18:I18"/>
    <mergeCell ref="K18:M18"/>
    <mergeCell ref="O18:Q18"/>
    <mergeCell ref="S18:U18"/>
    <mergeCell ref="C17:E17"/>
    <mergeCell ref="G17:I17"/>
    <mergeCell ref="K17:M17"/>
    <mergeCell ref="O17:Q17"/>
    <mergeCell ref="S17:U17"/>
    <mergeCell ref="W18:Y18"/>
    <mergeCell ref="A15:D15"/>
    <mergeCell ref="A10:C10"/>
    <mergeCell ref="D10:Y10"/>
    <mergeCell ref="A12:C12"/>
    <mergeCell ref="D12:Y12"/>
    <mergeCell ref="O14:P14"/>
  </mergeCells>
  <pageMargins left="0.25" right="0.25" top="0.75" bottom="0.75" header="0.3" footer="0.3"/>
  <pageSetup paperSize="9" scale="36" orientation="landscape" r:id="rId1"/>
  <headerFooter scaleWithDoc="0">
    <oddHeader>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5076-14B7-4856-AA27-AC3F3081B623}">
  <dimension ref="A2:V77"/>
  <sheetViews>
    <sheetView tabSelected="1" topLeftCell="D32" workbookViewId="0">
      <selection activeCell="N42" sqref="N42"/>
    </sheetView>
  </sheetViews>
  <sheetFormatPr baseColWidth="10" defaultRowHeight="15" x14ac:dyDescent="0.25"/>
  <cols>
    <col min="2" max="2" width="14" customWidth="1"/>
    <col min="13" max="13" width="15.5703125" customWidth="1"/>
    <col min="14" max="14" width="18.28515625" customWidth="1"/>
    <col min="15" max="15" width="19.5703125" customWidth="1"/>
  </cols>
  <sheetData>
    <row r="2" spans="1:18" x14ac:dyDescent="0.25">
      <c r="A2" s="106" t="s">
        <v>54</v>
      </c>
      <c r="N2" s="106" t="s">
        <v>70</v>
      </c>
    </row>
    <row r="3" spans="1:18" x14ac:dyDescent="0.25">
      <c r="B3" t="s">
        <v>58</v>
      </c>
      <c r="G3" t="s">
        <v>59</v>
      </c>
      <c r="O3" t="s">
        <v>58</v>
      </c>
    </row>
    <row r="4" spans="1:18" x14ac:dyDescent="0.25">
      <c r="C4" t="s">
        <v>7</v>
      </c>
      <c r="D4" t="s">
        <v>8</v>
      </c>
      <c r="E4" t="s">
        <v>5</v>
      </c>
      <c r="H4" t="s">
        <v>7</v>
      </c>
      <c r="I4" t="s">
        <v>8</v>
      </c>
      <c r="J4" t="s">
        <v>5</v>
      </c>
      <c r="P4" t="s">
        <v>7</v>
      </c>
      <c r="Q4" t="s">
        <v>8</v>
      </c>
      <c r="R4" t="s">
        <v>5</v>
      </c>
    </row>
    <row r="5" spans="1:18" x14ac:dyDescent="0.25">
      <c r="B5" t="s">
        <v>55</v>
      </c>
      <c r="C5" s="114">
        <f>E5/1.1</f>
        <v>4418.181818181818</v>
      </c>
      <c r="D5" s="113">
        <v>0.1</v>
      </c>
      <c r="E5">
        <v>4860</v>
      </c>
      <c r="G5" t="s">
        <v>55</v>
      </c>
      <c r="H5" s="114">
        <f>J5/1.1</f>
        <v>3130.8909090909087</v>
      </c>
      <c r="I5" s="113">
        <v>0.1</v>
      </c>
      <c r="J5">
        <v>3443.98</v>
      </c>
      <c r="O5" t="s">
        <v>71</v>
      </c>
      <c r="P5" s="114">
        <f>R5/(1+Q5)</f>
        <v>6328.8818181818178</v>
      </c>
      <c r="Q5" s="113">
        <v>0.1</v>
      </c>
      <c r="R5" s="114">
        <v>6961.77</v>
      </c>
    </row>
    <row r="6" spans="1:18" x14ac:dyDescent="0.25">
      <c r="B6" t="s">
        <v>56</v>
      </c>
      <c r="C6" s="114">
        <f>E6/1.1</f>
        <v>811.81818181818176</v>
      </c>
      <c r="D6" s="113">
        <v>0.1</v>
      </c>
      <c r="E6">
        <v>893</v>
      </c>
      <c r="G6" t="s">
        <v>56</v>
      </c>
      <c r="H6" s="114">
        <f>J6/1.1</f>
        <v>788.36363636363637</v>
      </c>
      <c r="I6" s="113">
        <v>0.1</v>
      </c>
      <c r="J6">
        <v>867.2</v>
      </c>
      <c r="O6" t="s">
        <v>72</v>
      </c>
      <c r="P6" s="114">
        <f t="shared" ref="P6:P9" si="0">R6/(1+Q6)</f>
        <v>1813.7545454545455</v>
      </c>
      <c r="Q6" s="113">
        <v>0.1</v>
      </c>
      <c r="R6" s="114">
        <v>1995.13</v>
      </c>
    </row>
    <row r="7" spans="1:18" x14ac:dyDescent="0.25">
      <c r="B7" t="s">
        <v>27</v>
      </c>
      <c r="C7">
        <f>E7/1.1</f>
        <v>899.99999999999989</v>
      </c>
      <c r="D7" s="113">
        <v>0.1</v>
      </c>
      <c r="E7">
        <v>990</v>
      </c>
      <c r="G7" t="s">
        <v>27</v>
      </c>
      <c r="H7">
        <f>J7/1.1</f>
        <v>1479.9999999999998</v>
      </c>
      <c r="I7" s="113">
        <v>0.1</v>
      </c>
      <c r="J7">
        <v>1628</v>
      </c>
      <c r="O7" t="s">
        <v>73</v>
      </c>
      <c r="P7" s="114">
        <f t="shared" si="0"/>
        <v>4410.0999999999995</v>
      </c>
      <c r="Q7" s="113">
        <v>0.1</v>
      </c>
      <c r="R7">
        <v>4851.1099999999997</v>
      </c>
    </row>
    <row r="8" spans="1:18" x14ac:dyDescent="0.25">
      <c r="B8" t="s">
        <v>57</v>
      </c>
      <c r="C8">
        <f>E8/1.2</f>
        <v>100</v>
      </c>
      <c r="D8" s="113">
        <v>0.2</v>
      </c>
      <c r="E8">
        <v>120</v>
      </c>
      <c r="G8" t="s">
        <v>57</v>
      </c>
      <c r="H8">
        <f>J8/1.2</f>
        <v>0</v>
      </c>
      <c r="I8" s="113">
        <v>0.2</v>
      </c>
      <c r="O8" t="s">
        <v>74</v>
      </c>
      <c r="P8" s="114">
        <f t="shared" si="0"/>
        <v>874.18181818181813</v>
      </c>
      <c r="Q8" s="113">
        <v>0.1</v>
      </c>
      <c r="R8">
        <v>961.6</v>
      </c>
    </row>
    <row r="9" spans="1:18" x14ac:dyDescent="0.25">
      <c r="C9" s="115">
        <f>SUM(C5:C8)</f>
        <v>6230</v>
      </c>
      <c r="E9" s="106">
        <f>SUM(E5:E8)</f>
        <v>6863</v>
      </c>
      <c r="H9" s="115">
        <f>SUM(H5:H8)</f>
        <v>5399.2545454545452</v>
      </c>
      <c r="J9" s="106">
        <f>SUM(J5:J8)</f>
        <v>5939.18</v>
      </c>
      <c r="O9" t="s">
        <v>75</v>
      </c>
      <c r="P9" s="114">
        <f t="shared" si="0"/>
        <v>378.5454545454545</v>
      </c>
      <c r="Q9" s="113">
        <v>0.1</v>
      </c>
      <c r="R9">
        <v>416.4</v>
      </c>
    </row>
    <row r="10" spans="1:18" x14ac:dyDescent="0.25">
      <c r="P10" s="115">
        <f>SUM(P5:P9)</f>
        <v>13805.463636363635</v>
      </c>
      <c r="Q10" s="115"/>
      <c r="R10" s="115">
        <f>SUM(R5:R9)</f>
        <v>15186.010000000002</v>
      </c>
    </row>
    <row r="11" spans="1:18" x14ac:dyDescent="0.25">
      <c r="P11" s="115"/>
      <c r="Q11" s="115"/>
      <c r="R11" s="115"/>
    </row>
    <row r="12" spans="1:18" x14ac:dyDescent="0.25">
      <c r="A12" s="106" t="s">
        <v>61</v>
      </c>
      <c r="O12" t="s">
        <v>57</v>
      </c>
      <c r="P12" s="114">
        <f t="shared" ref="P12:P15" si="1">R12/(1+Q12)</f>
        <v>183.33333333333334</v>
      </c>
      <c r="Q12" s="113">
        <v>0.2</v>
      </c>
      <c r="R12" s="114">
        <v>220</v>
      </c>
    </row>
    <row r="13" spans="1:18" x14ac:dyDescent="0.25">
      <c r="B13" t="s">
        <v>26</v>
      </c>
      <c r="G13" t="s">
        <v>82</v>
      </c>
      <c r="O13" t="s">
        <v>27</v>
      </c>
      <c r="P13" s="114">
        <f t="shared" si="1"/>
        <v>1181.8181818181818</v>
      </c>
      <c r="Q13" s="113">
        <v>0.1</v>
      </c>
      <c r="R13">
        <v>1300</v>
      </c>
    </row>
    <row r="14" spans="1:18" x14ac:dyDescent="0.25">
      <c r="B14" t="s">
        <v>62</v>
      </c>
      <c r="C14">
        <v>6355.75</v>
      </c>
      <c r="D14" s="113">
        <v>0.1</v>
      </c>
      <c r="E14">
        <f>C14*(1+D14)</f>
        <v>6991.3250000000007</v>
      </c>
      <c r="H14">
        <f>575+180+680+3719+506.34+880+85.26+127.5</f>
        <v>6753.1</v>
      </c>
      <c r="I14" s="113">
        <v>0.1</v>
      </c>
      <c r="J14">
        <f>H14*(1+I14)</f>
        <v>7428.4100000000008</v>
      </c>
      <c r="O14" t="s">
        <v>76</v>
      </c>
      <c r="P14" s="114">
        <f t="shared" si="1"/>
        <v>51.9</v>
      </c>
      <c r="R14">
        <v>51.9</v>
      </c>
    </row>
    <row r="15" spans="1:18" x14ac:dyDescent="0.25">
      <c r="C15">
        <v>1169.6500000000001</v>
      </c>
      <c r="D15" s="113">
        <v>0.1</v>
      </c>
      <c r="E15">
        <f t="shared" ref="E15:E16" si="2">C15*(1+D15)</f>
        <v>1286.6150000000002</v>
      </c>
      <c r="H15">
        <f>2302.05+302.82</f>
        <v>2604.8700000000003</v>
      </c>
      <c r="I15" s="113">
        <v>0.1</v>
      </c>
      <c r="J15">
        <f t="shared" ref="J15:J16" si="3">H15*(1+I15)</f>
        <v>2865.3570000000004</v>
      </c>
      <c r="O15" t="s">
        <v>77</v>
      </c>
      <c r="P15" s="114">
        <f t="shared" si="1"/>
        <v>49.06</v>
      </c>
      <c r="R15">
        <v>49.06</v>
      </c>
    </row>
    <row r="16" spans="1:18" x14ac:dyDescent="0.25">
      <c r="C16">
        <v>153.86000000000001</v>
      </c>
      <c r="D16" s="113">
        <v>0.1</v>
      </c>
      <c r="E16">
        <f t="shared" si="2"/>
        <v>169.24600000000004</v>
      </c>
      <c r="H16">
        <f>225+800+450</f>
        <v>1475</v>
      </c>
      <c r="I16" s="113">
        <v>0.1</v>
      </c>
      <c r="J16">
        <f t="shared" si="3"/>
        <v>1622.5000000000002</v>
      </c>
      <c r="P16" s="115">
        <f>SUM(P12:P15,P10)</f>
        <v>15271.57515151515</v>
      </c>
      <c r="R16" s="115">
        <f>SUM(R12:R15,R10)</f>
        <v>16806.97</v>
      </c>
    </row>
    <row r="17" spans="1:22" x14ac:dyDescent="0.25">
      <c r="C17" s="106">
        <f>SUM(C14:C16)</f>
        <v>7679.2599999999993</v>
      </c>
      <c r="D17" s="113">
        <v>0.1</v>
      </c>
      <c r="E17" s="106">
        <f>SUM(E14:E16)</f>
        <v>8447.1859999999997</v>
      </c>
      <c r="H17" s="106">
        <f>SUM(H14:H16)</f>
        <v>10832.970000000001</v>
      </c>
      <c r="I17" s="113">
        <v>0.1</v>
      </c>
      <c r="J17" s="106">
        <f>SUM(J14:J16)</f>
        <v>11916.267000000002</v>
      </c>
    </row>
    <row r="19" spans="1:22" x14ac:dyDescent="0.25">
      <c r="E19">
        <v>20363.45</v>
      </c>
      <c r="G19" t="s">
        <v>82</v>
      </c>
    </row>
    <row r="20" spans="1:22" x14ac:dyDescent="0.25">
      <c r="H20">
        <f>506.34+880+85.26+127.5</f>
        <v>1599.1</v>
      </c>
      <c r="I20" s="113">
        <v>0.1</v>
      </c>
      <c r="J20">
        <f>H20*(1+I20)</f>
        <v>1759.01</v>
      </c>
      <c r="N20" s="106" t="s">
        <v>38</v>
      </c>
      <c r="P20" s="194" t="s">
        <v>68</v>
      </c>
      <c r="Q20" s="194"/>
      <c r="R20" s="194"/>
    </row>
    <row r="21" spans="1:22" x14ac:dyDescent="0.25">
      <c r="H21">
        <f>1151.05+302.82+225</f>
        <v>1678.87</v>
      </c>
      <c r="I21" s="113">
        <v>0.1</v>
      </c>
      <c r="J21">
        <f>H21*(1+I21)</f>
        <v>1846.7570000000001</v>
      </c>
      <c r="P21" t="s">
        <v>7</v>
      </c>
      <c r="Q21" t="s">
        <v>8</v>
      </c>
      <c r="R21" t="s">
        <v>5</v>
      </c>
    </row>
    <row r="22" spans="1:22" x14ac:dyDescent="0.25">
      <c r="H22" s="106">
        <f>SUM(H19:H21)</f>
        <v>3277.97</v>
      </c>
      <c r="I22" s="113">
        <v>0.1</v>
      </c>
      <c r="J22" s="106">
        <f>SUM(J19:J21)</f>
        <v>3605.7669999999998</v>
      </c>
      <c r="O22" t="s">
        <v>66</v>
      </c>
      <c r="P22">
        <f>65+65+530+6+35+550+693+474+45+168+108+116+37+35+265+980+29+50+530+532.5+110+230+45+40+557+180+65+450+441+45+80+160+470.83+29+50+230+110+745.83+1235+138+116+250+140+65+190+65+180+736.08+60+130+280+190+230+180</f>
        <v>13537.24</v>
      </c>
      <c r="Q22" s="113">
        <v>0.1</v>
      </c>
    </row>
    <row r="23" spans="1:22" x14ac:dyDescent="0.25">
      <c r="O23" t="s">
        <v>67</v>
      </c>
      <c r="P23">
        <f>60+35+250+60+350+1350+850+1400+120+1150+1250+1380+360+950+420+750</f>
        <v>10735</v>
      </c>
      <c r="Q23" s="113">
        <v>0.1</v>
      </c>
      <c r="S23">
        <f>P23/P25</f>
        <v>0.43334797337665065</v>
      </c>
    </row>
    <row r="24" spans="1:22" x14ac:dyDescent="0.25">
      <c r="G24" t="s">
        <v>81</v>
      </c>
      <c r="O24" t="s">
        <v>69</v>
      </c>
      <c r="P24">
        <v>500</v>
      </c>
      <c r="Q24" s="113">
        <v>0.1</v>
      </c>
    </row>
    <row r="25" spans="1:22" x14ac:dyDescent="0.25">
      <c r="P25" s="106">
        <f>SUM(P22:P24)</f>
        <v>24772.239999999998</v>
      </c>
    </row>
    <row r="27" spans="1:22" x14ac:dyDescent="0.25">
      <c r="O27" t="s">
        <v>133</v>
      </c>
      <c r="P27" t="s">
        <v>7</v>
      </c>
      <c r="Q27" t="s">
        <v>8</v>
      </c>
      <c r="R27" t="s">
        <v>5</v>
      </c>
      <c r="S27" t="s">
        <v>134</v>
      </c>
      <c r="T27" t="s">
        <v>7</v>
      </c>
      <c r="U27" t="s">
        <v>8</v>
      </c>
      <c r="V27" t="s">
        <v>5</v>
      </c>
    </row>
    <row r="28" spans="1:22" x14ac:dyDescent="0.25">
      <c r="O28" t="s">
        <v>135</v>
      </c>
      <c r="S28" t="s">
        <v>170</v>
      </c>
    </row>
    <row r="29" spans="1:22" x14ac:dyDescent="0.25">
      <c r="O29" t="s">
        <v>136</v>
      </c>
      <c r="S29" t="s">
        <v>173</v>
      </c>
    </row>
    <row r="30" spans="1:22" x14ac:dyDescent="0.25">
      <c r="A30" s="106" t="s">
        <v>83</v>
      </c>
      <c r="G30" s="106" t="s">
        <v>89</v>
      </c>
      <c r="O30" t="s">
        <v>137</v>
      </c>
      <c r="S30" t="s">
        <v>174</v>
      </c>
    </row>
    <row r="31" spans="1:22" x14ac:dyDescent="0.25">
      <c r="B31" t="s">
        <v>84</v>
      </c>
      <c r="H31" t="s">
        <v>41</v>
      </c>
      <c r="O31" t="s">
        <v>138</v>
      </c>
      <c r="S31" t="s">
        <v>180</v>
      </c>
    </row>
    <row r="32" spans="1:22" x14ac:dyDescent="0.25">
      <c r="C32" t="s">
        <v>7</v>
      </c>
      <c r="D32" t="s">
        <v>8</v>
      </c>
      <c r="E32" t="s">
        <v>5</v>
      </c>
      <c r="I32" t="s">
        <v>7</v>
      </c>
      <c r="J32" t="s">
        <v>8</v>
      </c>
      <c r="K32" t="s">
        <v>5</v>
      </c>
      <c r="L32" t="s">
        <v>92</v>
      </c>
      <c r="M32" t="s">
        <v>94</v>
      </c>
      <c r="O32" t="s">
        <v>139</v>
      </c>
      <c r="S32" t="s">
        <v>182</v>
      </c>
    </row>
    <row r="33" spans="2:19" x14ac:dyDescent="0.25">
      <c r="B33" t="s">
        <v>85</v>
      </c>
      <c r="C33" s="114">
        <f>1331.69+200+189.36+100+143.65+80+300+105.69+50+150+80</f>
        <v>2730.3900000000003</v>
      </c>
      <c r="D33" s="113">
        <v>0.1</v>
      </c>
      <c r="E33" s="114">
        <f>C33*(1+D33)</f>
        <v>3003.4290000000005</v>
      </c>
      <c r="H33" t="s">
        <v>90</v>
      </c>
      <c r="I33" s="114">
        <v>3722.02</v>
      </c>
      <c r="J33" s="113">
        <v>0.1</v>
      </c>
      <c r="K33" s="114">
        <f>I33*(1+J33)</f>
        <v>4094.2220000000002</v>
      </c>
      <c r="L33" s="126">
        <v>1792.41</v>
      </c>
      <c r="M33" s="114">
        <f>K33-L33</f>
        <v>2301.8119999999999</v>
      </c>
      <c r="O33" t="s">
        <v>140</v>
      </c>
      <c r="S33" t="s">
        <v>143</v>
      </c>
    </row>
    <row r="34" spans="2:19" x14ac:dyDescent="0.25">
      <c r="B34" t="s">
        <v>86</v>
      </c>
      <c r="C34" s="114">
        <v>348.98</v>
      </c>
      <c r="D34" s="113">
        <v>0.1</v>
      </c>
      <c r="E34" s="114">
        <f t="shared" ref="E34:E36" si="4">C34*(1+D34)</f>
        <v>383.87800000000004</v>
      </c>
      <c r="H34" t="s">
        <v>91</v>
      </c>
      <c r="I34" s="114">
        <v>1709.51</v>
      </c>
      <c r="J34" s="113">
        <v>0.1</v>
      </c>
      <c r="K34" s="114">
        <f t="shared" ref="K34:K36" si="5">I34*(1+J34)</f>
        <v>1880.4610000000002</v>
      </c>
      <c r="M34" s="125">
        <f>K34-L34</f>
        <v>1880.4610000000002</v>
      </c>
      <c r="O34" t="s">
        <v>141</v>
      </c>
    </row>
    <row r="35" spans="2:19" x14ac:dyDescent="0.25">
      <c r="B35" t="s">
        <v>87</v>
      </c>
      <c r="C35">
        <v>60</v>
      </c>
      <c r="D35" s="113">
        <v>0.1</v>
      </c>
      <c r="E35" s="114">
        <f t="shared" si="4"/>
        <v>66</v>
      </c>
      <c r="H35" t="s">
        <v>93</v>
      </c>
      <c r="I35">
        <v>774.7</v>
      </c>
      <c r="J35" s="113">
        <v>0.1</v>
      </c>
      <c r="K35" s="114">
        <f t="shared" si="5"/>
        <v>852.17000000000007</v>
      </c>
      <c r="L35">
        <v>255.65</v>
      </c>
      <c r="M35" s="125">
        <f>K35-L35</f>
        <v>596.5200000000001</v>
      </c>
      <c r="O35" t="s">
        <v>142</v>
      </c>
    </row>
    <row r="36" spans="2:19" x14ac:dyDescent="0.25">
      <c r="B36" s="124" t="s">
        <v>88</v>
      </c>
      <c r="C36">
        <f>20-90+461.11+120+100</f>
        <v>611.11</v>
      </c>
      <c r="D36" s="113">
        <v>0.1</v>
      </c>
      <c r="E36" s="114">
        <f t="shared" si="4"/>
        <v>672.22100000000012</v>
      </c>
      <c r="H36" s="124" t="s">
        <v>88</v>
      </c>
      <c r="I36">
        <f>245-131.25+411.17-648.76</f>
        <v>-123.83999999999992</v>
      </c>
      <c r="J36" s="113">
        <v>0.1</v>
      </c>
      <c r="K36" s="114">
        <f t="shared" si="5"/>
        <v>-136.22399999999993</v>
      </c>
      <c r="M36" s="114">
        <f>K36-L36</f>
        <v>-136.22399999999993</v>
      </c>
      <c r="O36" t="s">
        <v>205</v>
      </c>
    </row>
    <row r="37" spans="2:19" x14ac:dyDescent="0.25">
      <c r="C37" s="115">
        <f>SUM(C33:C36)</f>
        <v>3750.4800000000005</v>
      </c>
      <c r="E37" s="115">
        <f>SUM(E33:E36)</f>
        <v>4125.5280000000012</v>
      </c>
      <c r="I37" s="115">
        <f>SUM(I33:I36)</f>
        <v>6082.3899999999994</v>
      </c>
      <c r="K37" s="115">
        <f>SUM(K33:K36)</f>
        <v>6690.6290000000008</v>
      </c>
      <c r="L37" s="115">
        <f>SUM(L33:L36)</f>
        <v>2048.06</v>
      </c>
      <c r="M37" s="115">
        <f>SUM(M33:M36)</f>
        <v>4642.5690000000004</v>
      </c>
      <c r="O37" t="s">
        <v>144</v>
      </c>
    </row>
    <row r="38" spans="2:19" x14ac:dyDescent="0.25">
      <c r="O38" t="s">
        <v>145</v>
      </c>
    </row>
    <row r="39" spans="2:19" x14ac:dyDescent="0.25">
      <c r="O39" t="s">
        <v>146</v>
      </c>
    </row>
    <row r="40" spans="2:19" x14ac:dyDescent="0.25">
      <c r="O40" t="s">
        <v>147</v>
      </c>
    </row>
    <row r="41" spans="2:19" x14ac:dyDescent="0.25">
      <c r="O41" t="s">
        <v>148</v>
      </c>
    </row>
    <row r="42" spans="2:19" x14ac:dyDescent="0.25">
      <c r="O42" t="s">
        <v>151</v>
      </c>
    </row>
    <row r="43" spans="2:19" x14ac:dyDescent="0.25">
      <c r="O43" t="s">
        <v>149</v>
      </c>
    </row>
    <row r="44" spans="2:19" x14ac:dyDescent="0.25">
      <c r="O44" t="s">
        <v>166</v>
      </c>
    </row>
    <row r="45" spans="2:19" x14ac:dyDescent="0.25">
      <c r="O45" t="s">
        <v>167</v>
      </c>
    </row>
    <row r="46" spans="2:19" x14ac:dyDescent="0.25">
      <c r="O46" t="s">
        <v>150</v>
      </c>
    </row>
    <row r="47" spans="2:19" x14ac:dyDescent="0.25">
      <c r="O47" t="s">
        <v>152</v>
      </c>
    </row>
    <row r="48" spans="2:19" x14ac:dyDescent="0.25">
      <c r="O48" t="s">
        <v>153</v>
      </c>
    </row>
    <row r="49" spans="15:15" x14ac:dyDescent="0.25">
      <c r="O49" t="s">
        <v>159</v>
      </c>
    </row>
    <row r="50" spans="15:15" x14ac:dyDescent="0.25">
      <c r="O50" t="s">
        <v>154</v>
      </c>
    </row>
    <row r="51" spans="15:15" x14ac:dyDescent="0.25">
      <c r="O51" t="s">
        <v>155</v>
      </c>
    </row>
    <row r="52" spans="15:15" x14ac:dyDescent="0.25">
      <c r="O52" t="s">
        <v>156</v>
      </c>
    </row>
    <row r="53" spans="15:15" x14ac:dyDescent="0.25">
      <c r="O53" t="s">
        <v>157</v>
      </c>
    </row>
    <row r="54" spans="15:15" x14ac:dyDescent="0.25">
      <c r="O54" t="s">
        <v>158</v>
      </c>
    </row>
    <row r="55" spans="15:15" x14ac:dyDescent="0.25">
      <c r="O55" t="s">
        <v>160</v>
      </c>
    </row>
    <row r="56" spans="15:15" x14ac:dyDescent="0.25">
      <c r="O56" t="s">
        <v>161</v>
      </c>
    </row>
    <row r="57" spans="15:15" x14ac:dyDescent="0.25">
      <c r="O57" t="s">
        <v>162</v>
      </c>
    </row>
    <row r="58" spans="15:15" x14ac:dyDescent="0.25">
      <c r="O58" t="s">
        <v>163</v>
      </c>
    </row>
    <row r="59" spans="15:15" x14ac:dyDescent="0.25">
      <c r="O59" t="s">
        <v>164</v>
      </c>
    </row>
    <row r="60" spans="15:15" x14ac:dyDescent="0.25">
      <c r="O60" t="s">
        <v>165</v>
      </c>
    </row>
    <row r="61" spans="15:15" x14ac:dyDescent="0.25">
      <c r="O61" t="s">
        <v>168</v>
      </c>
    </row>
    <row r="62" spans="15:15" x14ac:dyDescent="0.25">
      <c r="O62" t="s">
        <v>169</v>
      </c>
    </row>
    <row r="63" spans="15:15" x14ac:dyDescent="0.25">
      <c r="O63" t="s">
        <v>171</v>
      </c>
    </row>
    <row r="64" spans="15:15" x14ac:dyDescent="0.25">
      <c r="O64" t="s">
        <v>172</v>
      </c>
    </row>
    <row r="65" spans="15:15" x14ac:dyDescent="0.25">
      <c r="O65" t="s">
        <v>175</v>
      </c>
    </row>
    <row r="66" spans="15:15" x14ac:dyDescent="0.25">
      <c r="O66" t="s">
        <v>176</v>
      </c>
    </row>
    <row r="67" spans="15:15" x14ac:dyDescent="0.25">
      <c r="O67" t="s">
        <v>177</v>
      </c>
    </row>
    <row r="68" spans="15:15" x14ac:dyDescent="0.25">
      <c r="O68" t="s">
        <v>178</v>
      </c>
    </row>
    <row r="69" spans="15:15" x14ac:dyDescent="0.25">
      <c r="O69" t="s">
        <v>179</v>
      </c>
    </row>
    <row r="70" spans="15:15" x14ac:dyDescent="0.25">
      <c r="O70" t="s">
        <v>181</v>
      </c>
    </row>
    <row r="71" spans="15:15" x14ac:dyDescent="0.25">
      <c r="O71" t="s">
        <v>183</v>
      </c>
    </row>
    <row r="72" spans="15:15" x14ac:dyDescent="0.25">
      <c r="O72" t="s">
        <v>184</v>
      </c>
    </row>
    <row r="73" spans="15:15" x14ac:dyDescent="0.25">
      <c r="O73" t="s">
        <v>185</v>
      </c>
    </row>
    <row r="74" spans="15:15" x14ac:dyDescent="0.25">
      <c r="O74" t="s">
        <v>186</v>
      </c>
    </row>
    <row r="75" spans="15:15" x14ac:dyDescent="0.25">
      <c r="O75" t="s">
        <v>187</v>
      </c>
    </row>
    <row r="76" spans="15:15" x14ac:dyDescent="0.25">
      <c r="O76" t="s">
        <v>188</v>
      </c>
    </row>
    <row r="77" spans="15:15" x14ac:dyDescent="0.25">
      <c r="O77" t="s">
        <v>189</v>
      </c>
    </row>
  </sheetData>
  <mergeCells count="1">
    <mergeCell ref="P20:R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HONO REVL</vt:lpstr>
      <vt:lpstr>RECAPITULATIF 1</vt:lpstr>
      <vt:lpstr>RECAPITULATIF 2</vt:lpstr>
      <vt:lpstr>RECAPITULATIF 3</vt:lpstr>
      <vt:lpstr>Feuil1</vt:lpstr>
      <vt:lpstr>'HONO REVL'!Zone_d_impression</vt:lpstr>
      <vt:lpstr>'RECAPITULATIF 1'!Zone_d_impression</vt:lpstr>
      <vt:lpstr>'RECAPITULATIF 2'!Zone_d_impression</vt:lpstr>
      <vt:lpstr>'RECAPITULATIF 3'!Zone_d_impression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#001</dc:subject>
  <dc:creator>raphaël</dc:creator>
  <cp:lastModifiedBy>Lau Dum</cp:lastModifiedBy>
  <cp:lastPrinted>2026-02-03T09:31:40Z</cp:lastPrinted>
  <dcterms:created xsi:type="dcterms:W3CDTF">2018-04-06T09:58:58Z</dcterms:created>
  <dcterms:modified xsi:type="dcterms:W3CDTF">2026-02-09T10:14:51Z</dcterms:modified>
</cp:coreProperties>
</file>