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dossier serveur\Laurence\0_REV'L\1_PROJETS CLIENTS\6 - 2022_001 - Clients Olivier et Catherine Duval - CLT000001\08- DEVIS ET FACTURES ARTISANS\"/>
    </mc:Choice>
  </mc:AlternateContent>
  <xr:revisionPtr revIDLastSave="0" documentId="13_ncr:1_{AD786A1B-18AF-4982-A367-BB201993920E}" xr6:coauthVersionLast="47" xr6:coauthVersionMax="47" xr10:uidLastSave="{00000000-0000-0000-0000-000000000000}"/>
  <bookViews>
    <workbookView xWindow="-120" yWindow="-120" windowWidth="29040" windowHeight="15840" activeTab="2" xr2:uid="{32DC1CDE-EFD4-46F6-84ED-838F27204C41}"/>
  </bookViews>
  <sheets>
    <sheet name="devis" sheetId="1" r:id="rId1"/>
    <sheet name="conseils" sheetId="2" r:id="rId2"/>
    <sheet name="Comparatif cuisines"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1" i="3" l="1"/>
  <c r="T15" i="3"/>
  <c r="T6" i="3"/>
  <c r="O21" i="3"/>
  <c r="O15" i="3"/>
  <c r="O6" i="3"/>
  <c r="J21" i="3"/>
  <c r="J15" i="3"/>
  <c r="J6" i="3"/>
  <c r="Q96" i="3"/>
  <c r="Q79" i="3"/>
  <c r="Q87" i="3" l="1"/>
  <c r="Q91" i="3"/>
  <c r="Q95" i="3" s="1"/>
  <c r="V94" i="3"/>
  <c r="G98" i="3"/>
  <c r="V96" i="3"/>
  <c r="V91" i="3"/>
  <c r="V87" i="3"/>
  <c r="V28" i="3"/>
  <c r="Q97" i="3" l="1"/>
  <c r="V46" i="3"/>
  <c r="V59" i="3"/>
  <c r="L93" i="3"/>
  <c r="L44" i="3"/>
  <c r="L96" i="3"/>
  <c r="I41" i="3"/>
  <c r="L41" i="3" s="1"/>
  <c r="L17" i="3"/>
  <c r="L11" i="3"/>
  <c r="I37" i="3"/>
  <c r="L62" i="3"/>
  <c r="L25" i="3"/>
  <c r="L24" i="3"/>
  <c r="L43" i="3"/>
  <c r="L42" i="3"/>
  <c r="L22" i="3"/>
  <c r="L61" i="3"/>
  <c r="L23" i="3"/>
  <c r="L60" i="3"/>
  <c r="L91" i="3"/>
  <c r="L87" i="3"/>
  <c r="L59" i="3"/>
  <c r="E21" i="3"/>
  <c r="E6" i="3"/>
  <c r="E15" i="3"/>
  <c r="G91" i="3"/>
  <c r="G87" i="3"/>
  <c r="Q12" i="1"/>
  <c r="Q7" i="1"/>
  <c r="Q31" i="1"/>
  <c r="R86" i="1"/>
  <c r="G95" i="3" l="1"/>
  <c r="G97" i="3" s="1"/>
  <c r="V79" i="3"/>
  <c r="L79" i="3"/>
  <c r="L95" i="3" s="1"/>
  <c r="Q86" i="1"/>
  <c r="Z45" i="1"/>
  <c r="Z86" i="1" s="1"/>
  <c r="S86" i="1"/>
  <c r="P38" i="1"/>
  <c r="P37" i="1"/>
  <c r="P68" i="1"/>
  <c r="P33" i="1"/>
  <c r="P31" i="1"/>
  <c r="V95" i="3" l="1"/>
  <c r="V97" i="3" s="1"/>
  <c r="P70" i="1"/>
  <c r="P52" i="1"/>
  <c r="U16" i="1"/>
  <c r="U14" i="1"/>
  <c r="L16" i="1"/>
  <c r="P16" i="1" s="1"/>
  <c r="L14" i="1"/>
  <c r="P14" i="1" s="1"/>
  <c r="N20" i="1"/>
  <c r="N10" i="1"/>
  <c r="P10" i="1"/>
  <c r="N11" i="1"/>
  <c r="P11" i="1"/>
  <c r="P7" i="1"/>
  <c r="N7" i="1"/>
  <c r="N28" i="1"/>
  <c r="O29" i="1"/>
  <c r="N29" i="1"/>
  <c r="O27" i="1"/>
  <c r="N32" i="1"/>
  <c r="O32" i="1"/>
  <c r="P32" i="1"/>
  <c r="N36" i="1"/>
  <c r="O36" i="1"/>
  <c r="P36" i="1"/>
  <c r="N14" i="1" l="1"/>
  <c r="N16" i="1"/>
  <c r="N27" i="1"/>
  <c r="P27" i="1"/>
  <c r="P28" i="1"/>
  <c r="O28" i="1"/>
  <c r="P29" i="1"/>
  <c r="P30" i="1"/>
  <c r="Y16" i="1"/>
  <c r="W47" i="1"/>
  <c r="X47" i="1"/>
  <c r="W10" i="1"/>
  <c r="W14" i="1"/>
  <c r="X14" i="1"/>
  <c r="W11" i="1"/>
  <c r="W18" i="1"/>
  <c r="W20" i="1"/>
  <c r="W40" i="1"/>
  <c r="X40" i="1"/>
  <c r="W41" i="1"/>
  <c r="X41" i="1"/>
  <c r="W44" i="1"/>
  <c r="X44" i="1"/>
  <c r="N34" i="1"/>
  <c r="O34" i="1"/>
  <c r="N35" i="1"/>
  <c r="O35" i="1"/>
  <c r="W42" i="1"/>
  <c r="X42" i="1"/>
  <c r="W43" i="1"/>
  <c r="X43" i="1"/>
  <c r="W52" i="1"/>
  <c r="X52" i="1"/>
  <c r="W53" i="1"/>
  <c r="X53" i="1"/>
  <c r="W54" i="1"/>
  <c r="W55" i="1"/>
  <c r="X55" i="1"/>
  <c r="N59" i="1"/>
  <c r="W56" i="1"/>
  <c r="X56" i="1"/>
  <c r="N60" i="1"/>
  <c r="O60" i="1"/>
  <c r="W48" i="1"/>
  <c r="X48" i="1"/>
  <c r="W49" i="1"/>
  <c r="X49" i="1"/>
  <c r="W50" i="1"/>
  <c r="X50" i="1"/>
  <c r="W68" i="1"/>
  <c r="X68" i="1"/>
  <c r="W70" i="1"/>
  <c r="X70" i="1"/>
  <c r="X6" i="1"/>
  <c r="W6" i="1"/>
  <c r="Y68" i="1"/>
  <c r="Y48" i="1"/>
  <c r="Y49" i="1"/>
  <c r="Y50" i="1"/>
  <c r="Y47" i="1"/>
  <c r="Y40" i="1"/>
  <c r="Y41" i="1"/>
  <c r="Y44" i="1"/>
  <c r="P34" i="1"/>
  <c r="P35" i="1"/>
  <c r="Y42" i="1"/>
  <c r="Y43" i="1"/>
  <c r="Y10" i="1"/>
  <c r="Y14" i="1"/>
  <c r="Y11" i="1"/>
  <c r="Y52" i="1"/>
  <c r="Y53" i="1"/>
  <c r="Y54" i="1"/>
  <c r="Y55" i="1"/>
  <c r="P59" i="1"/>
  <c r="Y56" i="1"/>
  <c r="P60" i="1"/>
  <c r="Y70" i="1"/>
  <c r="Y6" i="1"/>
  <c r="P86" i="1" l="1"/>
  <c r="N30" i="1"/>
  <c r="N86" i="1" s="1"/>
  <c r="O30" i="1"/>
  <c r="W16" i="1"/>
  <c r="X16" i="1"/>
  <c r="Y86" i="1"/>
  <c r="W86" i="1" l="1"/>
  <c r="L9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PC-SERVEUR</author>
  </authors>
  <commentList>
    <comment ref="L30" authorId="0" shapeId="0" xr:uid="{CB995C46-186F-4B2F-BA2A-E37DD4F35DDE}">
      <text>
        <r>
          <rPr>
            <b/>
            <sz val="9"/>
            <color indexed="81"/>
            <rFont val="Tahoma"/>
            <family val="2"/>
          </rPr>
          <t>PC-SERVEUR:</t>
        </r>
        <r>
          <rPr>
            <sz val="9"/>
            <color indexed="81"/>
            <rFont val="Tahoma"/>
            <family val="2"/>
          </rPr>
          <t xml:space="preserve">
10m3 ?</t>
        </r>
      </text>
    </comment>
    <comment ref="L32" authorId="0" shapeId="0" xr:uid="{757468FD-1F23-4B3F-87C3-34F6E9FF4C8F}">
      <text>
        <r>
          <rPr>
            <b/>
            <sz val="9"/>
            <color indexed="81"/>
            <rFont val="Tahoma"/>
            <family val="2"/>
          </rPr>
          <t>PC-SERVEUR:</t>
        </r>
        <r>
          <rPr>
            <sz val="9"/>
            <color indexed="81"/>
            <rFont val="Tahoma"/>
            <family val="2"/>
          </rPr>
          <t xml:space="preserve">
qtté : 0,05 ?</t>
        </r>
      </text>
    </comment>
    <comment ref="Z45" authorId="0" shapeId="0" xr:uid="{3EC852AE-3F5D-4F0D-A427-272C912CEEE3}">
      <text>
        <r>
          <rPr>
            <b/>
            <sz val="9"/>
            <color indexed="81"/>
            <rFont val="Tahoma"/>
            <family val="2"/>
          </rPr>
          <t>PC-SERVEUR:</t>
        </r>
        <r>
          <rPr>
            <sz val="9"/>
            <color indexed="81"/>
            <rFont val="Tahoma"/>
            <family val="2"/>
          </rPr>
          <t xml:space="preserve">
Estimation de 2/3 du S1</t>
        </r>
      </text>
    </comment>
  </commentList>
</comments>
</file>

<file path=xl/sharedStrings.xml><?xml version="1.0" encoding="utf-8"?>
<sst xmlns="http://schemas.openxmlformats.org/spreadsheetml/2006/main" count="716" uniqueCount="442">
  <si>
    <t>PROJET DUVAL - ESTIMATION MONTANT DES TRAVAUX</t>
  </si>
  <si>
    <t>SCENARIO 1</t>
  </si>
  <si>
    <t>SCENARIO 2</t>
  </si>
  <si>
    <t>Quantité</t>
  </si>
  <si>
    <t>Coût total</t>
  </si>
  <si>
    <t>MURS</t>
  </si>
  <si>
    <t>SOLS</t>
  </si>
  <si>
    <t>Chape</t>
  </si>
  <si>
    <t>Ragréage simple</t>
  </si>
  <si>
    <t>Carrelage : très variable</t>
  </si>
  <si>
    <t>PLOMBERIE</t>
  </si>
  <si>
    <t>Sommier béton 40x40x20</t>
  </si>
  <si>
    <t>Unité</t>
  </si>
  <si>
    <t>prix min</t>
  </si>
  <si>
    <t>Références Prix HT</t>
  </si>
  <si>
    <t>m²</t>
  </si>
  <si>
    <t>ml</t>
  </si>
  <si>
    <t>PLAFOND</t>
  </si>
  <si>
    <t>Faux plafond avec dalle isolants + éclairage intégré</t>
  </si>
  <si>
    <t>Corniches à reprendre si abîmées suite dépose doublage</t>
  </si>
  <si>
    <t>Plancher hourdis 12+5 avec isolant</t>
  </si>
  <si>
    <t>Prix MBCR</t>
  </si>
  <si>
    <t>Nb</t>
  </si>
  <si>
    <t>Dépose carrelage</t>
  </si>
  <si>
    <t>Dépose plancher bois et solivage</t>
  </si>
  <si>
    <t>EVACUATION</t>
  </si>
  <si>
    <t>déblais suite dépose / démolition</t>
  </si>
  <si>
    <r>
      <t>m</t>
    </r>
    <r>
      <rPr>
        <vertAlign val="superscript"/>
        <sz val="11"/>
        <color theme="1"/>
        <rFont val="Calibri"/>
        <family val="2"/>
        <scheme val="minor"/>
      </rPr>
      <t>3</t>
    </r>
  </si>
  <si>
    <t>Prix</t>
  </si>
  <si>
    <t>Coût ref. min</t>
  </si>
  <si>
    <t>Coût ref. max</t>
  </si>
  <si>
    <t>Semelle filante 40x20 (6 kg / ml)</t>
  </si>
  <si>
    <t>TOTAL</t>
  </si>
  <si>
    <t>Terrassement manuel</t>
  </si>
  <si>
    <t>Evacuation déblais terrassement</t>
  </si>
  <si>
    <t>Poutres / Linteaux béton 15x15 4,5 kg/ml</t>
  </si>
  <si>
    <t>Empochements / réservation dans maçonnerie</t>
  </si>
  <si>
    <t>unité</t>
  </si>
  <si>
    <t>Chaînage béton au niveau du plancher</t>
  </si>
  <si>
    <t>Réservation pour passage tuyaux</t>
  </si>
  <si>
    <t>Canalisation PVC 100</t>
  </si>
  <si>
    <t>Traitement des solives bois conservées</t>
  </si>
  <si>
    <t>Peinture (mur + plafond)</t>
  </si>
  <si>
    <t>prix max</t>
  </si>
  <si>
    <t>RENFORT PLANCHER BOIS</t>
  </si>
  <si>
    <t>PLANCHER BETON</t>
  </si>
  <si>
    <t>Poutres / Linteaux béton 15x17 6kg/ml</t>
  </si>
  <si>
    <t>Semelle isolée 60x60x20 (6 kg / ml)</t>
  </si>
  <si>
    <t>Poteau BA 15x15 4,5 kg/ml</t>
  </si>
  <si>
    <t>S2</t>
  </si>
  <si>
    <t>S1</t>
  </si>
  <si>
    <t>Muralière BM 8x20 chevillée dans sommiers béton</t>
  </si>
  <si>
    <t>Poutre bois 15x15 sous cloison RDC</t>
  </si>
  <si>
    <t>Plinthes carrelage</t>
  </si>
  <si>
    <t>Doublage et cloisons - dépose + évacué</t>
  </si>
  <si>
    <t>Plafond tendu ?</t>
  </si>
  <si>
    <t>Traitement des solives / poteaux bois conservés</t>
  </si>
  <si>
    <t>ELECTRICITE / VMC</t>
  </si>
  <si>
    <t>PAC</t>
  </si>
  <si>
    <r>
      <t>à poser /</t>
    </r>
    <r>
      <rPr>
        <sz val="11"/>
        <color rgb="FFFF0000"/>
        <rFont val="Calibri"/>
        <family val="2"/>
        <scheme val="minor"/>
      </rPr>
      <t xml:space="preserve"> coordination avant ou après travaux cave ?</t>
    </r>
  </si>
  <si>
    <t>Dépose lambris plafond rampant + Préparation pour peinture</t>
  </si>
  <si>
    <t>CUISINE</t>
  </si>
  <si>
    <t>Dépose cuisine existante</t>
  </si>
  <si>
    <t>Meubles + électroménager + pose nouvelle cuisine</t>
  </si>
  <si>
    <t xml:space="preserve">Même entreprise pour : </t>
  </si>
  <si>
    <t>Maçonnerie + carrelage</t>
  </si>
  <si>
    <t>Electricité + plomberie + PAC + VMC</t>
  </si>
  <si>
    <t>COORDINATION ET SUIVI DES TRAVAUX</t>
  </si>
  <si>
    <t>Tony Brillaud</t>
  </si>
  <si>
    <t>Energie Futura</t>
  </si>
  <si>
    <t>Agglo 15cmx20x50 dont chainage (en sous-sol)</t>
  </si>
  <si>
    <t>Béton pour chainage ou raidisseurs</t>
  </si>
  <si>
    <t>Réservation dans maçonnerie de moellons pour sommiers</t>
  </si>
  <si>
    <t>Réservation dans maçonnerie de moellons pour poutre bois</t>
  </si>
  <si>
    <t>calage du plancher</t>
  </si>
  <si>
    <t>Cloisons + sol souple</t>
  </si>
  <si>
    <t>peinture</t>
  </si>
  <si>
    <t>Prix SAPA</t>
  </si>
  <si>
    <t>MENUISERIES</t>
  </si>
  <si>
    <t>Rosace si pas de faux plafond ?</t>
  </si>
  <si>
    <t>Prix TURPAUD</t>
  </si>
  <si>
    <t>Prix ABC</t>
  </si>
  <si>
    <t>FRAIS DIVERS</t>
  </si>
  <si>
    <t>Dépose carrelage mural</t>
  </si>
  <si>
    <t>Protection du sol existant</t>
  </si>
  <si>
    <t>Dépose corniches</t>
  </si>
  <si>
    <t>Raccord platre suite dépose meubles</t>
  </si>
  <si>
    <t>Habillage des embrasures ouvertures ext et int en plaque de platre</t>
  </si>
  <si>
    <t>Revêtement sol souple pour cuisine (Lino, LVT, …)</t>
  </si>
  <si>
    <t>Revêtement sol souple pour dressing (Lino, LVT, …)</t>
  </si>
  <si>
    <t>Pose sous couche avec polyane intégré pour dressing</t>
  </si>
  <si>
    <t>Ragréage épais pour rattrapage pour cuisine</t>
  </si>
  <si>
    <t>Barre de seuil cuisine</t>
  </si>
  <si>
    <t>Rabottage porte intérieure</t>
  </si>
  <si>
    <t>Changement porte extérieure cour avec VR ext</t>
  </si>
  <si>
    <t>Changement porte intérieure pour porte vitrée cuisine</t>
  </si>
  <si>
    <t>Changement porte intérieure pour porte vitrée salon</t>
  </si>
  <si>
    <t>BA 13</t>
  </si>
  <si>
    <t>Isolation laine de verre ep. 120mm pour les 2 murs ext</t>
  </si>
  <si>
    <t>Joints placo</t>
  </si>
  <si>
    <t>Bandes armées sur arêtes</t>
  </si>
  <si>
    <t>ponçage et bandes placo ?</t>
  </si>
  <si>
    <t>Amenée et repli matériels + nettoyage fin chantier</t>
  </si>
  <si>
    <t>Menuiserie</t>
  </si>
  <si>
    <t>Sur-plinthes blanches bois</t>
  </si>
  <si>
    <t>18mm à récupérer au sol, ncéessite de dépose carrelage. Point de vigilance à la porte Belem, quand elle est ouverte, côté clenche</t>
  </si>
  <si>
    <t>mastic acrylique quand sol PVC</t>
  </si>
  <si>
    <t>Sol</t>
  </si>
  <si>
    <t>plafond cuisine</t>
  </si>
  <si>
    <t>plafond dressing WC</t>
  </si>
  <si>
    <t>soit on garde la frisette et raccord possible suite dépose cloison. On peut repeindre et intégrer aussi un éclairage</t>
  </si>
  <si>
    <t>soit on dépose la frisette et on fait un plafond rampant complet ou rampant + droit, avec spots.</t>
  </si>
  <si>
    <t>pb ventilation et fissuration au plafond de la cuisine (avant pose VMC)</t>
  </si>
  <si>
    <t>soit on fait un faux plafond droit et isolé en placo (15 cm plus bas qu'actuellement). Pas de sens de remettre des corniches ou rosace. On modernise et on isole. On intègre des spots  intégrés. Evite les risques de fissures</t>
  </si>
  <si>
    <t>soit on dépose les corniches et rosac, on prépare avec une toile tendue plafond de plâtre + repose corniches et rosace =&gt; risque de voir à nouveau des fissures car fleche au niveau du plancher R+1 : aspect plafond ancien. Corniches assurent la liaison entre murs placo et plafond : compter 60 €/m²</t>
  </si>
  <si>
    <t>mettre barre de seuil entre sol PVC et sisal (fin de sisal pas très propre, et légèrement plus épais)</t>
  </si>
  <si>
    <t>mettre PVC U3P4</t>
  </si>
  <si>
    <t>Cuisine</t>
  </si>
  <si>
    <t>se pose une fois le sol posé</t>
  </si>
  <si>
    <t>mettre des plinthes partout</t>
  </si>
  <si>
    <t>Couloir</t>
  </si>
  <si>
    <t>poser toile plafond</t>
  </si>
  <si>
    <t>gratter le mur couloir + 1 seul mur le long de l'escalier</t>
  </si>
  <si>
    <t>repeindre plafond autour trémie + mur couloir + mur adossé escalier</t>
  </si>
  <si>
    <t>Electricité</t>
  </si>
  <si>
    <t>neutraliser les réseaux dans le couloir : peut-on supprimer cette gaine apparente ?</t>
  </si>
  <si>
    <t>faire un ragréage fibré (3 à 10mm épaisseur) après dépose du carrelage + pose collée (pas pose libre, ni clipsée)</t>
  </si>
  <si>
    <t>COMPARATIFS DES DEVIS CUISINE</t>
  </si>
  <si>
    <t>Elements bas</t>
  </si>
  <si>
    <t>Elements hauts</t>
  </si>
  <si>
    <t>Electroménager</t>
  </si>
  <si>
    <t>Eclairage</t>
  </si>
  <si>
    <t>Pose</t>
  </si>
  <si>
    <t>Nb éléments</t>
  </si>
  <si>
    <t>Total linéaire</t>
  </si>
  <si>
    <t>Venidom</t>
  </si>
  <si>
    <t>Dim caissons L x P x H</t>
  </si>
  <si>
    <t>Colonnes</t>
  </si>
  <si>
    <t>60x58x210</t>
  </si>
  <si>
    <t>1 coulissant H60  + 1 porte abbatante H75 + 1 LV</t>
  </si>
  <si>
    <t>90x58x60</t>
  </si>
  <si>
    <t>1 élément sous évier 2 portes</t>
  </si>
  <si>
    <t>95x58x30</t>
  </si>
  <si>
    <t>1 meuble sur frigo porte relevable H30</t>
  </si>
  <si>
    <r>
      <t xml:space="preserve">2 coulissants H30  + 1 porte relevable H45 + 1 four + </t>
    </r>
    <r>
      <rPr>
        <sz val="8"/>
        <color rgb="FFFF0000"/>
        <rFont val="Calibri"/>
        <family val="2"/>
        <scheme val="minor"/>
      </rPr>
      <t>1 MO</t>
    </r>
  </si>
  <si>
    <t>Aération</t>
  </si>
  <si>
    <t>1 grille sous four</t>
  </si>
  <si>
    <t>45x58x210</t>
  </si>
  <si>
    <t>2 étagères + 4 tiroirs à l'anglaise + 1 porte H135 + 1 porte  H75 D</t>
  </si>
  <si>
    <t>Plan de travail</t>
  </si>
  <si>
    <r>
      <t>90x</t>
    </r>
    <r>
      <rPr>
        <sz val="11"/>
        <color rgb="FFFF0000"/>
        <rFont val="Calibri"/>
        <family val="2"/>
        <scheme val="minor"/>
      </rPr>
      <t>65</t>
    </r>
    <r>
      <rPr>
        <sz val="11"/>
        <color theme="1"/>
        <rFont val="Calibri"/>
        <family val="2"/>
        <scheme val="minor"/>
      </rPr>
      <t>x1,9</t>
    </r>
  </si>
  <si>
    <t>Fileur</t>
  </si>
  <si>
    <t>3x210</t>
  </si>
  <si>
    <t>40x58x75</t>
  </si>
  <si>
    <t>1 coulissant poubelle 1x32 + 1x8 litre</t>
  </si>
  <si>
    <t>Côtés</t>
  </si>
  <si>
    <t>60x56x210</t>
  </si>
  <si>
    <t>1 G + 1 D</t>
  </si>
  <si>
    <t>80x34x75</t>
  </si>
  <si>
    <t>2 étagères verre + 2 portes vitrées + barre LED encastrée + transfo</t>
  </si>
  <si>
    <t>80x34x90</t>
  </si>
  <si>
    <t>3 étagères verre + 2 portes vitrées + barre LED encastrée + transfo</t>
  </si>
  <si>
    <t>90x58x75</t>
  </si>
  <si>
    <t>2 coulissants H30 + 1 tiroir 30 pour cuisson</t>
  </si>
  <si>
    <t>30x58x75</t>
  </si>
  <si>
    <t>1 coulissant à l'anglaise pour bouteilles</t>
  </si>
  <si>
    <t>1 étagère + 2 portes pleines</t>
  </si>
  <si>
    <t>1 D</t>
  </si>
  <si>
    <t>bas angle 90°</t>
  </si>
  <si>
    <t>15x32x75</t>
  </si>
  <si>
    <t>6 casiers à bouteilles</t>
  </si>
  <si>
    <t>50x34x75</t>
  </si>
  <si>
    <t>1 étagère + 1 tiroir H15 + 1 porte pleine (1D + 1 G)</t>
  </si>
  <si>
    <t>60x34x90</t>
  </si>
  <si>
    <t>3 étagères verre + 1 porte vitrée + barre LED encastrée + transfo</t>
  </si>
  <si>
    <t>50x32x75</t>
  </si>
  <si>
    <t>haut 12x90</t>
  </si>
  <si>
    <r>
      <rPr>
        <sz val="11"/>
        <rFont val="Calibri"/>
        <family val="2"/>
        <scheme val="minor"/>
      </rPr>
      <t>80</t>
    </r>
    <r>
      <rPr>
        <sz val="11"/>
        <color theme="1"/>
        <rFont val="Calibri"/>
        <family val="2"/>
        <scheme val="minor"/>
      </rPr>
      <t>x32x75</t>
    </r>
  </si>
  <si>
    <t>60x32x90</t>
  </si>
  <si>
    <t>40,2x65x3,9</t>
  </si>
  <si>
    <t>à côté évier - hydrofuge</t>
  </si>
  <si>
    <t>156x36x3,9</t>
  </si>
  <si>
    <t>à côté appareils - hydrofuge</t>
  </si>
  <si>
    <t>87,3x36,1x3,9</t>
  </si>
  <si>
    <t>Profil de protection</t>
  </si>
  <si>
    <t>2,5m</t>
  </si>
  <si>
    <t>Embouts</t>
  </si>
  <si>
    <t>lots de 2</t>
  </si>
  <si>
    <t>Poignées</t>
  </si>
  <si>
    <t xml:space="preserve"> étagères - 1 porte H135 + 1 porte H75 G</t>
  </si>
  <si>
    <t>1 étagère + 1 porte H135 + 1 porte  H75 D</t>
  </si>
  <si>
    <t>210x65x1,9</t>
  </si>
  <si>
    <t>220x65x1,9</t>
  </si>
  <si>
    <t>1 étagère + 1 porte pleine G</t>
  </si>
  <si>
    <t>222x65x1,9</t>
  </si>
  <si>
    <t>73,9x87x1,9</t>
  </si>
  <si>
    <t>110x87x1,9</t>
  </si>
  <si>
    <t>120x87x1,9</t>
  </si>
  <si>
    <t>60x32x75</t>
  </si>
  <si>
    <t>226,4x110,2x3,9</t>
  </si>
  <si>
    <t>125x110x3,9</t>
  </si>
  <si>
    <t>Socle mélaminé</t>
  </si>
  <si>
    <t>Pied restauration</t>
  </si>
  <si>
    <t>LV electrolux</t>
  </si>
  <si>
    <t>MO Electrolux</t>
  </si>
  <si>
    <t>Table aspirante Elica</t>
  </si>
  <si>
    <t>Evier</t>
  </si>
  <si>
    <t>Robinetterie</t>
  </si>
  <si>
    <t>acier diam 0,6 H71</t>
  </si>
  <si>
    <t>Livraison</t>
  </si>
  <si>
    <t>?</t>
  </si>
  <si>
    <t>Crédence</t>
  </si>
  <si>
    <t>1 ?</t>
  </si>
  <si>
    <r>
      <t>stratifié 4 chants Pierre de lave (sous évier)</t>
    </r>
    <r>
      <rPr>
        <sz val="8"/>
        <color rgb="FFFF0000"/>
        <rFont val="Calibri"/>
        <family val="2"/>
        <scheme val="minor"/>
      </rPr>
      <t xml:space="preserve"> </t>
    </r>
  </si>
  <si>
    <t>Barre LED à encastrer dans meuble 4000K + transfo</t>
  </si>
  <si>
    <t>0?</t>
  </si>
  <si>
    <t>30,2x65x3,9</t>
  </si>
  <si>
    <t>Aménagement niche mur</t>
  </si>
  <si>
    <t>Aménagement placard élec</t>
  </si>
  <si>
    <t>Descriptif</t>
  </si>
  <si>
    <t>TOTAL CUISINE</t>
  </si>
  <si>
    <t>TOTAL MEUBLES TTC AVEC REMISE</t>
  </si>
  <si>
    <t>TOTAL TTC ELECTROMENAGER</t>
  </si>
  <si>
    <t>TOTAL TTC SANITAIRE</t>
  </si>
  <si>
    <t>TOTAL TTC LIVRAISON</t>
  </si>
  <si>
    <t>TOTAL TTC POSE</t>
  </si>
  <si>
    <t>Charnières</t>
  </si>
  <si>
    <t>clipsables - réglables dans les 3 dim - butée anti bruit</t>
  </si>
  <si>
    <t>50x58x220,8</t>
  </si>
  <si>
    <t xml:space="preserve">2 coulissants + 2 niches + 1 four + 1 MO  + 1 porte </t>
  </si>
  <si>
    <t>60x58x30</t>
  </si>
  <si>
    <t>1 soubassement LV</t>
  </si>
  <si>
    <t>Faces</t>
  </si>
  <si>
    <t>60x58x78</t>
  </si>
  <si>
    <t>Face pour LV</t>
  </si>
  <si>
    <t>Panneaux habillage LV</t>
  </si>
  <si>
    <t>60x127x1,6</t>
  </si>
  <si>
    <t>1 coulissant poubelle+ 1 tiroir</t>
  </si>
  <si>
    <t>90x58x71,5</t>
  </si>
  <si>
    <t>1 étagère + 1 porte + 1 tiroir</t>
  </si>
  <si>
    <t>80x58x78</t>
  </si>
  <si>
    <t>2 coulissants + 1 tiroir</t>
  </si>
  <si>
    <t>100x58x78</t>
  </si>
  <si>
    <t>2 coulissants pour cuisson</t>
  </si>
  <si>
    <t>60x37x78</t>
  </si>
  <si>
    <t>90x37x39</t>
  </si>
  <si>
    <t>2 portes</t>
  </si>
  <si>
    <t>2,7x37x39</t>
  </si>
  <si>
    <t>fileur frontal</t>
  </si>
  <si>
    <t>92,1x1,6x10</t>
  </si>
  <si>
    <t>100x37x39</t>
  </si>
  <si>
    <t>60x25x39</t>
  </si>
  <si>
    <t>niche noire</t>
  </si>
  <si>
    <t>130x1,6x88</t>
  </si>
  <si>
    <t>panneau habillage ilot</t>
  </si>
  <si>
    <t>Panneau habillage  au-dessus figo</t>
  </si>
  <si>
    <t>2 portes au dessus frigo</t>
  </si>
  <si>
    <t>60x37x39</t>
  </si>
  <si>
    <t>1 porte</t>
  </si>
  <si>
    <r>
      <t xml:space="preserve">niche noire </t>
    </r>
    <r>
      <rPr>
        <sz val="8"/>
        <color rgb="FFFF0000"/>
        <rFont val="Calibri"/>
        <family val="2"/>
        <scheme val="minor"/>
      </rPr>
      <t>(pourquoi tarif réduction ?)</t>
    </r>
  </si>
  <si>
    <t>58x1,6x230,8</t>
  </si>
  <si>
    <t>panneau habillage frigo</t>
  </si>
  <si>
    <t>30x58x78</t>
  </si>
  <si>
    <t>1 coulissant + 1 tiroir à l'anglaise pour bouteilles</t>
  </si>
  <si>
    <t>Plinthes / Socles</t>
  </si>
  <si>
    <t>1,6x10</t>
  </si>
  <si>
    <t>plinthes</t>
  </si>
  <si>
    <t>20x58,3x220,8</t>
  </si>
  <si>
    <r>
      <t xml:space="preserve">7 étagères. </t>
    </r>
    <r>
      <rPr>
        <sz val="8"/>
        <color rgb="FFFF0000"/>
        <rFont val="Calibri"/>
        <family val="2"/>
        <scheme val="minor"/>
      </rPr>
      <t>Pb place ?</t>
    </r>
  </si>
  <si>
    <t>LV  Bosch</t>
  </si>
  <si>
    <t>MO Bosch</t>
  </si>
  <si>
    <t>Table aspirante Bosch</t>
  </si>
  <si>
    <t>TOTAL CUISINE TTC AVEC REMISE</t>
  </si>
  <si>
    <t>REMISE</t>
  </si>
  <si>
    <t>TOTAL MEUBLES TTC</t>
  </si>
  <si>
    <t>60x37x207,8</t>
  </si>
  <si>
    <t>Mitigeur Chambord Luisina</t>
  </si>
  <si>
    <t>fraisage simple pour spot</t>
  </si>
  <si>
    <t>fraisage  double pour spots</t>
  </si>
  <si>
    <t>spots encastrables</t>
  </si>
  <si>
    <t>commutateur</t>
  </si>
  <si>
    <t>carré 0,5x0,5 acier H87</t>
  </si>
  <si>
    <t>absence</t>
  </si>
  <si>
    <t>Plan + crédence granit pour cheyenne cuir</t>
  </si>
  <si>
    <t>non prévue</t>
  </si>
  <si>
    <t>5x56x220,8</t>
  </si>
  <si>
    <t>fileur frontal pour armoire</t>
  </si>
  <si>
    <t>60x56x220,8</t>
  </si>
  <si>
    <t>7 étagères + 2 portes</t>
  </si>
  <si>
    <t>Joues pour frigo</t>
  </si>
  <si>
    <t>30x56x220,8</t>
  </si>
  <si>
    <t>5 étagères à suspendre + 1 étagère fixe pour provisions</t>
  </si>
  <si>
    <t>1,6x58,3x220,8</t>
  </si>
  <si>
    <t>1,6x58,3x232,8</t>
  </si>
  <si>
    <t>90x56x78</t>
  </si>
  <si>
    <t>2 coulissants + 1 tiroir intérieur</t>
  </si>
  <si>
    <t>1,6x58,3x88</t>
  </si>
  <si>
    <t>Joue pour élément bas</t>
  </si>
  <si>
    <t>Joue pour armoire provision</t>
  </si>
  <si>
    <t>90x1,2x113</t>
  </si>
  <si>
    <t>90x35x65</t>
  </si>
  <si>
    <t>2 portes + profil LED bidirectionnel</t>
  </si>
  <si>
    <t>Joue pour élément haut</t>
  </si>
  <si>
    <t>1,6x37,3x65</t>
  </si>
  <si>
    <t>Joue pour élément bas ilot</t>
  </si>
  <si>
    <t>1,6x70x88</t>
  </si>
  <si>
    <t>60x1,2x113</t>
  </si>
  <si>
    <t>Lambris style campagnard. H88 (ilot)</t>
  </si>
  <si>
    <t>Lambris style campagnard. H75,9 (plan) + H88 (ilot)</t>
  </si>
  <si>
    <t>50x35x78</t>
  </si>
  <si>
    <t>40x56x78</t>
  </si>
  <si>
    <t>2 coulissants + 1 tiroir intérieur pour ilot</t>
  </si>
  <si>
    <t>2 étagères + 1 porte pour ilot</t>
  </si>
  <si>
    <t>1,6x37,3x88</t>
  </si>
  <si>
    <t>60x56x78</t>
  </si>
  <si>
    <t>100x35x78</t>
  </si>
  <si>
    <t>3 étagères + 2 portes pour ilot</t>
  </si>
  <si>
    <t>80x56x78</t>
  </si>
  <si>
    <t>1,6x95,6x88</t>
  </si>
  <si>
    <t>100x35x52</t>
  </si>
  <si>
    <t>Façade seule sur cadre existant</t>
  </si>
  <si>
    <t>Armoire à vaisselle 5 étagères + 2 portes. ?</t>
  </si>
  <si>
    <t>60,67 dm</t>
  </si>
  <si>
    <t>25,79 dm</t>
  </si>
  <si>
    <t>socle</t>
  </si>
  <si>
    <t>socle choix 1</t>
  </si>
  <si>
    <t>poignées 96mm noir</t>
  </si>
  <si>
    <t>93,6x59x4</t>
  </si>
  <si>
    <t>277,2x109x4</t>
  </si>
  <si>
    <t>plan de travail mur</t>
  </si>
  <si>
    <t>plan de travail ilot</t>
  </si>
  <si>
    <t>arrondissage / découpe / chant</t>
  </si>
  <si>
    <t>Table aspirante Pursu</t>
  </si>
  <si>
    <t>LV  Siemens</t>
  </si>
  <si>
    <t>Four pyrolyse Neff</t>
  </si>
  <si>
    <t>Four pyrolyse Bosch</t>
  </si>
  <si>
    <t>Four pyrolyse Electrolux</t>
  </si>
  <si>
    <t>MO Neff</t>
  </si>
  <si>
    <t>Mitigeur à douchette Bradano</t>
  </si>
  <si>
    <t>Accessoires</t>
  </si>
  <si>
    <t>Poubelle 2 seaux 2 x 15litres</t>
  </si>
  <si>
    <t>90x56</t>
  </si>
  <si>
    <t>Ramasse couverts</t>
  </si>
  <si>
    <t>Plus value SAD pour tiroir /coulissant/plat tourn. ?</t>
  </si>
  <si>
    <t>bloc de boites à épices</t>
  </si>
  <si>
    <t>40x56</t>
  </si>
  <si>
    <r>
      <t xml:space="preserve">TOTAL TTC POSE </t>
    </r>
    <r>
      <rPr>
        <b/>
        <sz val="11"/>
        <color rgb="FFFF0000"/>
        <rFont val="Calibri"/>
        <family val="2"/>
        <scheme val="minor"/>
      </rPr>
      <t>par Steph Création</t>
    </r>
  </si>
  <si>
    <t>Ma nouvelle cuisine (Trivia)</t>
  </si>
  <si>
    <t>dont éco participation mobilier</t>
  </si>
  <si>
    <t>Mitigeur douchette Lusina canon de fusil</t>
  </si>
  <si>
    <t>Poubelle 1x32L + 1x8L</t>
  </si>
  <si>
    <t>Raison Home (Ravenna Polymère V2)</t>
  </si>
  <si>
    <t>TOTAL TTC POSE (dont électro)</t>
  </si>
  <si>
    <t>Larippe (devis 1)</t>
  </si>
  <si>
    <t>Evier timbre Clotaire 1,5  bac Lusina granit - cuve 55,5x43x17</t>
  </si>
  <si>
    <t>Evier Bradano céramique - cuve 50,6x36,5x20</t>
  </si>
  <si>
    <t xml:space="preserve"> éco participation mobilier et electro</t>
  </si>
  <si>
    <t>0,5x0,8 H71 - Nevada gris</t>
  </si>
  <si>
    <t>LV  Whirlpool</t>
  </si>
  <si>
    <t>Frigo Whirlpool</t>
  </si>
  <si>
    <t>Table aspirante Beko</t>
  </si>
  <si>
    <t>Mitigeur  Rhapsodou chromé</t>
  </si>
  <si>
    <t>Evier Interbat Amélia - cuve 50x40x20</t>
  </si>
  <si>
    <t>8,4x55,5x204,6</t>
  </si>
  <si>
    <t>Fileur pour armoire</t>
  </si>
  <si>
    <t>60x55,5x204,6</t>
  </si>
  <si>
    <t>90x55,5x72,4</t>
  </si>
  <si>
    <t>45x55,5x72,4</t>
  </si>
  <si>
    <t>1 armoire pour frigo</t>
  </si>
  <si>
    <t>100x55,5x72,4</t>
  </si>
  <si>
    <t xml:space="preserve">1 abbatant + 1 four + 1 MO </t>
  </si>
  <si>
    <t>5x55,5x204,6</t>
  </si>
  <si>
    <t>30x55,5x72,4</t>
  </si>
  <si>
    <t>1 coulissant avec 2 corbeilles</t>
  </si>
  <si>
    <t>120x35x72,4</t>
  </si>
  <si>
    <t>2 étagères + 2 portes</t>
  </si>
  <si>
    <t>45x33,5x72,4</t>
  </si>
  <si>
    <t>2 étagères verre + 1 porte vitrée</t>
  </si>
  <si>
    <t>90x33,5x72,4</t>
  </si>
  <si>
    <t>2 étagères + 2 portes pleines</t>
  </si>
  <si>
    <t>2 étagères verre + 2 portes vitrées</t>
  </si>
  <si>
    <t>100x33,5x72,4</t>
  </si>
  <si>
    <r>
      <t xml:space="preserve">Panneaux 4 chants ABS </t>
    </r>
    <r>
      <rPr>
        <b/>
        <sz val="11"/>
        <rFont val="Calibri"/>
        <family val="2"/>
        <scheme val="minor"/>
      </rPr>
      <t>/ Joues</t>
    </r>
  </si>
  <si>
    <t>1,6x57,2x204,6</t>
  </si>
  <si>
    <t>Joue pour frigo</t>
  </si>
  <si>
    <t>1,6x90,5x87,4</t>
  </si>
  <si>
    <t>Joues pour élément bas ilot</t>
  </si>
  <si>
    <t>bandeau latéral de socle</t>
  </si>
  <si>
    <t>50x15</t>
  </si>
  <si>
    <t>200x15</t>
  </si>
  <si>
    <t>270x15</t>
  </si>
  <si>
    <t>400x15</t>
  </si>
  <si>
    <t>Corniche</t>
  </si>
  <si>
    <t>65x5,6x7,7</t>
  </si>
  <si>
    <t>22x5,6x7,7</t>
  </si>
  <si>
    <t>100,1x5,6x7,7</t>
  </si>
  <si>
    <t>33,5x5,6x7,7</t>
  </si>
  <si>
    <t>55,5x5,6x7,7</t>
  </si>
  <si>
    <t>60x5,6x7,7</t>
  </si>
  <si>
    <t>68,4x5,6x7,7</t>
  </si>
  <si>
    <t>225x5,6x7,7</t>
  </si>
  <si>
    <t>Corniche cottage</t>
  </si>
  <si>
    <t>range couverts</t>
  </si>
  <si>
    <t>90x55,5</t>
  </si>
  <si>
    <t>tapis protection sous évier</t>
  </si>
  <si>
    <t>Plan compact</t>
  </si>
  <si>
    <t>225x60x3,9</t>
  </si>
  <si>
    <t>102x60x3,9</t>
  </si>
  <si>
    <t>127,2x98,1x3,9</t>
  </si>
  <si>
    <t>Plan compact ilot</t>
  </si>
  <si>
    <t>100x80,1x3,9</t>
  </si>
  <si>
    <t>perçage plan de travail</t>
  </si>
  <si>
    <t>découpe évier</t>
  </si>
  <si>
    <t>égouttoir dans plan compact</t>
  </si>
  <si>
    <t>découpe brute plaque</t>
  </si>
  <si>
    <t>225x1,2x56</t>
  </si>
  <si>
    <t>crédence</t>
  </si>
  <si>
    <t>102x1,2x56</t>
  </si>
  <si>
    <t>TOTAL CUISINE TTC SANS REMISE</t>
  </si>
  <si>
    <t>vigilance sur l'agencement côté cour et placard élec</t>
  </si>
  <si>
    <t>vigilance sur l'espace de circulation + manque qqs corniches</t>
  </si>
  <si>
    <t>vérifier que 2</t>
  </si>
  <si>
    <t>vigilance sur le nombre de rangements + LV bas</t>
  </si>
  <si>
    <t>Evier timbre Thibert Luisina granit  - cuve 50,5x43,5x18,5</t>
  </si>
  <si>
    <t>egouttoir dans évier</t>
  </si>
  <si>
    <t>egouttoir dans plan de travail</t>
  </si>
  <si>
    <t>pas d'egouttoir, mais plaque bois</t>
  </si>
  <si>
    <t>quid dimension table (et donc plan de travail) ?</t>
  </si>
  <si>
    <t>plan de travail réel de 140x60 le long du mur</t>
  </si>
  <si>
    <r>
      <t xml:space="preserve">ilot blanc. </t>
    </r>
    <r>
      <rPr>
        <sz val="8"/>
        <color rgb="FFFF0000"/>
        <rFont val="Calibri"/>
        <family val="2"/>
        <scheme val="minor"/>
      </rPr>
      <t>Profondeur ilot 110 ?</t>
    </r>
  </si>
  <si>
    <r>
      <t xml:space="preserve">ilot noir. </t>
    </r>
    <r>
      <rPr>
        <sz val="8"/>
        <color rgb="FFFF0000"/>
        <rFont val="Calibri"/>
        <family val="2"/>
        <scheme val="minor"/>
      </rPr>
      <t>Profondeur ilot 110 ?</t>
    </r>
  </si>
  <si>
    <r>
      <t xml:space="preserve">Niche 2 étagères. </t>
    </r>
    <r>
      <rPr>
        <sz val="8"/>
        <color rgb="FFFF0000"/>
        <rFont val="Calibri"/>
        <family val="2"/>
        <scheme val="minor"/>
      </rPr>
      <t>Quid hauteur ?</t>
    </r>
  </si>
  <si>
    <t>vigilance sur plan de travail ilot. Pb gestion des 2 hauteurs % dim meubles H75</t>
  </si>
  <si>
    <t>plan de travail réel de 40x120 sur ilot noir + 90x100 sur ilot blanc (plus bas) ?</t>
  </si>
  <si>
    <t>absence grille sous four</t>
  </si>
  <si>
    <t>plan de travail réel de 30x90 sur ilot haut + 80x100 sur ilot plus bas + 90x58 (mur évier)</t>
  </si>
  <si>
    <t>plan de travail réel de 100x95 sur ilot</t>
  </si>
  <si>
    <t>electroménager sur plan de travail mur 90x58</t>
  </si>
  <si>
    <t>electroménager sur plan de travail mur 100x58 (ssi circulation possible)</t>
  </si>
  <si>
    <t>electroménager sur plan de travail mur 120x35</t>
  </si>
  <si>
    <t>electroménager sur plan de travail en L mur 200x35</t>
  </si>
  <si>
    <t>manque range bouteilles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</si>
</sst>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8" formatCode="#,##0.00\ &quot;€&quot;;[Red]\-#,##0.00\ &quot;€&quot;"/>
    <numFmt numFmtId="164" formatCode="#,##0.00\ &quot;€&quot;"/>
    <numFmt numFmtId="165" formatCode="#,##0_ ;[Red]\-#,##0\ "/>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vertAlign val="superscript"/>
      <sz val="11"/>
      <color theme="1"/>
      <name val="Calibri"/>
      <family val="2"/>
      <scheme val="minor"/>
    </font>
    <font>
      <sz val="11"/>
      <name val="Calibri"/>
      <family val="2"/>
      <scheme val="minor"/>
    </font>
    <font>
      <sz val="9"/>
      <color indexed="81"/>
      <name val="Tahoma"/>
      <family val="2"/>
    </font>
    <font>
      <b/>
      <sz val="9"/>
      <color indexed="81"/>
      <name val="Tahoma"/>
      <family val="2"/>
    </font>
    <font>
      <sz val="8"/>
      <color theme="1"/>
      <name val="Calibri"/>
      <family val="2"/>
      <scheme val="minor"/>
    </font>
    <font>
      <sz val="8"/>
      <color rgb="FFFF0000"/>
      <name val="Calibri"/>
      <family val="2"/>
      <scheme val="minor"/>
    </font>
    <font>
      <b/>
      <sz val="11"/>
      <color rgb="FFFF0000"/>
      <name val="Calibri"/>
      <family val="2"/>
      <scheme val="minor"/>
    </font>
    <font>
      <b/>
      <sz val="11"/>
      <name val="Calibri"/>
      <family val="2"/>
      <scheme val="minor"/>
    </font>
    <font>
      <i/>
      <sz val="11"/>
      <color theme="0" tint="-0.34998626667073579"/>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lightUp">
        <fgColor theme="0" tint="-0.14996795556505021"/>
        <bgColor indexed="65"/>
      </patternFill>
    </fill>
    <fill>
      <patternFill patternType="solid">
        <fgColor rgb="FFFF0000"/>
        <bgColor indexed="64"/>
      </patternFill>
    </fill>
    <fill>
      <patternFill patternType="solid">
        <fgColor theme="9"/>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7">
    <xf numFmtId="0" fontId="0" fillId="0" borderId="0" xfId="0"/>
    <xf numFmtId="0" fontId="2" fillId="0" borderId="0" xfId="0" applyFont="1"/>
    <xf numFmtId="0" fontId="0" fillId="0" borderId="0" xfId="0" applyAlignment="1">
      <alignment horizontal="center" vertical="center"/>
    </xf>
    <xf numFmtId="6" fontId="0" fillId="0" borderId="0" xfId="0" applyNumberFormat="1" applyAlignment="1">
      <alignment horizontal="center" vertical="center"/>
    </xf>
    <xf numFmtId="0" fontId="2" fillId="0" borderId="0" xfId="0" applyFont="1" applyAlignment="1">
      <alignment horizontal="center" vertical="center"/>
    </xf>
    <xf numFmtId="6" fontId="1" fillId="0" borderId="0" xfId="0" applyNumberFormat="1" applyFont="1" applyAlignment="1">
      <alignment horizontal="center" vertical="center"/>
    </xf>
    <xf numFmtId="0" fontId="2" fillId="2" borderId="0" xfId="0" applyFont="1" applyFill="1" applyAlignment="1">
      <alignment horizontal="center" vertical="center"/>
    </xf>
    <xf numFmtId="17" fontId="2" fillId="0" borderId="0" xfId="0" applyNumberFormat="1" applyFont="1" applyAlignment="1">
      <alignment horizontal="left" vertical="top"/>
    </xf>
    <xf numFmtId="164" fontId="0" fillId="0" borderId="0" xfId="0" applyNumberFormat="1" applyAlignment="1">
      <alignment horizontal="center" vertical="center"/>
    </xf>
    <xf numFmtId="164" fontId="0" fillId="0" borderId="0" xfId="0" applyNumberFormat="1"/>
    <xf numFmtId="164" fontId="2" fillId="0" borderId="0" xfId="0" applyNumberFormat="1" applyFont="1" applyAlignment="1">
      <alignment horizontal="center" vertical="center"/>
    </xf>
    <xf numFmtId="6" fontId="0" fillId="3" borderId="0" xfId="0" applyNumberFormat="1" applyFill="1" applyAlignment="1">
      <alignment horizontal="center" vertical="center"/>
    </xf>
    <xf numFmtId="164" fontId="0" fillId="3" borderId="0" xfId="0" applyNumberFormat="1" applyFill="1" applyAlignment="1">
      <alignment horizontal="center" vertical="center"/>
    </xf>
    <xf numFmtId="0" fontId="0" fillId="3" borderId="0" xfId="0" applyFill="1" applyAlignment="1">
      <alignment horizontal="center" vertical="center"/>
    </xf>
    <xf numFmtId="165" fontId="0" fillId="0" borderId="0" xfId="0" applyNumberFormat="1" applyAlignment="1">
      <alignment horizontal="center" vertical="center"/>
    </xf>
    <xf numFmtId="0" fontId="1" fillId="3" borderId="0" xfId="0" applyFont="1" applyFill="1" applyAlignment="1">
      <alignment horizontal="center" vertical="center"/>
    </xf>
    <xf numFmtId="164" fontId="1" fillId="3" borderId="0" xfId="0" applyNumberFormat="1" applyFont="1" applyFill="1" applyAlignment="1">
      <alignment horizontal="center" vertical="center"/>
    </xf>
    <xf numFmtId="165" fontId="1" fillId="3" borderId="0" xfId="0" applyNumberFormat="1" applyFont="1" applyFill="1" applyAlignment="1">
      <alignment horizontal="center" vertical="center"/>
    </xf>
    <xf numFmtId="0" fontId="0" fillId="4" borderId="0" xfId="0" applyFill="1" applyAlignment="1">
      <alignment horizontal="center" vertical="center"/>
    </xf>
    <xf numFmtId="164" fontId="0" fillId="4" borderId="0" xfId="0" applyNumberFormat="1" applyFill="1" applyAlignment="1">
      <alignment horizontal="center" vertical="center"/>
    </xf>
    <xf numFmtId="0" fontId="0" fillId="3" borderId="0" xfId="0" applyFill="1"/>
    <xf numFmtId="0" fontId="5" fillId="3" borderId="0" xfId="0" applyFont="1" applyFill="1" applyAlignment="1">
      <alignment horizontal="center" vertical="center"/>
    </xf>
    <xf numFmtId="164" fontId="5" fillId="3" borderId="0" xfId="0" applyNumberFormat="1" applyFont="1" applyFill="1" applyAlignment="1">
      <alignment horizontal="center" vertical="center"/>
    </xf>
    <xf numFmtId="164" fontId="0" fillId="5" borderId="0" xfId="0" applyNumberFormat="1" applyFill="1" applyAlignment="1">
      <alignment horizontal="center" vertical="center"/>
    </xf>
    <xf numFmtId="0" fontId="0" fillId="5" borderId="0" xfId="0" applyFill="1" applyAlignment="1">
      <alignment horizontal="center" vertical="center"/>
    </xf>
    <xf numFmtId="0" fontId="2" fillId="2" borderId="0" xfId="0" applyFont="1" applyFill="1" applyAlignment="1">
      <alignment horizontal="center"/>
    </xf>
    <xf numFmtId="8" fontId="0" fillId="0" borderId="0" xfId="0" applyNumberFormat="1" applyAlignment="1">
      <alignment horizontal="center" vertical="center"/>
    </xf>
    <xf numFmtId="8" fontId="0" fillId="3" borderId="0" xfId="0" applyNumberFormat="1" applyFill="1" applyAlignment="1">
      <alignment horizontal="center" vertical="center"/>
    </xf>
    <xf numFmtId="8" fontId="0" fillId="5" borderId="0" xfId="0" applyNumberFormat="1" applyFill="1" applyAlignment="1">
      <alignment horizontal="center" vertical="center"/>
    </xf>
    <xf numFmtId="0" fontId="1" fillId="0" borderId="0" xfId="0" applyFont="1"/>
    <xf numFmtId="8" fontId="0" fillId="6" borderId="0" xfId="0" applyNumberFormat="1" applyFill="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wrapText="1"/>
    </xf>
    <xf numFmtId="164" fontId="0" fillId="0" borderId="5" xfId="0" applyNumberFormat="1" applyBorder="1" applyAlignment="1">
      <alignment horizontal="center" vertical="center"/>
    </xf>
    <xf numFmtId="0" fontId="0" fillId="0" borderId="4" xfId="0" applyBorder="1" applyAlignment="1">
      <alignment horizontal="center" vertical="center"/>
    </xf>
    <xf numFmtId="0" fontId="0" fillId="0" borderId="5" xfId="0" applyBorder="1"/>
    <xf numFmtId="0" fontId="9" fillId="0" borderId="0" xfId="0" applyFont="1" applyAlignment="1">
      <alignment horizontal="center" vertical="center"/>
    </xf>
    <xf numFmtId="164" fontId="2" fillId="0" borderId="5" xfId="0" applyNumberFormat="1" applyFont="1" applyBorder="1" applyAlignment="1">
      <alignment horizontal="center" vertical="center"/>
    </xf>
    <xf numFmtId="0" fontId="1" fillId="0" borderId="0" xfId="0" applyFont="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xf numFmtId="0" fontId="9" fillId="0" borderId="7" xfId="0" applyFont="1" applyBorder="1" applyAlignment="1">
      <alignment horizontal="center" vertical="center"/>
    </xf>
    <xf numFmtId="0" fontId="0" fillId="0" borderId="8" xfId="0" applyBorder="1"/>
    <xf numFmtId="164" fontId="0" fillId="0" borderId="4" xfId="0" applyNumberFormat="1" applyBorder="1" applyAlignment="1">
      <alignment horizontal="center" vertical="center"/>
    </xf>
    <xf numFmtId="164" fontId="1" fillId="0" borderId="4" xfId="0" applyNumberFormat="1" applyFont="1" applyBorder="1" applyAlignment="1">
      <alignment horizontal="center" vertical="center"/>
    </xf>
    <xf numFmtId="164" fontId="1" fillId="0" borderId="0" xfId="0" applyNumberFormat="1" applyFont="1" applyAlignment="1">
      <alignment horizontal="center" vertical="center"/>
    </xf>
    <xf numFmtId="164" fontId="2" fillId="0" borderId="4" xfId="0" applyNumberFormat="1"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164" fontId="1" fillId="0" borderId="5" xfId="0" applyNumberFormat="1" applyFont="1" applyBorder="1" applyAlignment="1">
      <alignment horizontal="center" vertical="center"/>
    </xf>
    <xf numFmtId="0" fontId="5" fillId="0" borderId="4"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xf numFmtId="0" fontId="2"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xf>
    <xf numFmtId="164" fontId="0" fillId="0" borderId="3" xfId="0" applyNumberFormat="1" applyBorder="1" applyAlignment="1">
      <alignment horizontal="center" vertical="center"/>
    </xf>
    <xf numFmtId="0" fontId="2" fillId="0" borderId="4" xfId="0" applyFont="1" applyBorder="1"/>
    <xf numFmtId="0" fontId="2" fillId="0" borderId="6" xfId="0" applyFont="1" applyBorder="1"/>
    <xf numFmtId="0" fontId="2" fillId="0" borderId="7" xfId="0" applyFont="1" applyBorder="1" applyAlignment="1">
      <alignment horizontal="center" vertical="center"/>
    </xf>
    <xf numFmtId="164" fontId="2" fillId="0" borderId="8"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0" fillId="0" borderId="1" xfId="0" applyBorder="1" applyAlignment="1">
      <alignment horizontal="center" vertical="center"/>
    </xf>
    <xf numFmtId="0" fontId="1" fillId="0" borderId="2" xfId="0" applyFont="1" applyBorder="1" applyAlignment="1">
      <alignment horizontal="center" vertical="center"/>
    </xf>
    <xf numFmtId="0" fontId="9" fillId="0" borderId="2" xfId="0" applyFont="1" applyBorder="1" applyAlignment="1">
      <alignment horizontal="center" vertical="center"/>
    </xf>
    <xf numFmtId="164" fontId="2" fillId="0" borderId="3"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0" fillId="0" borderId="2" xfId="0" applyBorder="1"/>
    <xf numFmtId="164" fontId="0" fillId="0" borderId="1" xfId="0" applyNumberFormat="1" applyBorder="1" applyAlignment="1">
      <alignment horizontal="center" vertical="center"/>
    </xf>
    <xf numFmtId="164" fontId="0" fillId="0" borderId="2" xfId="0" applyNumberFormat="1" applyBorder="1" applyAlignment="1">
      <alignment horizontal="center" vertical="center"/>
    </xf>
    <xf numFmtId="0" fontId="8" fillId="0" borderId="7" xfId="0" applyFont="1" applyBorder="1" applyAlignment="1">
      <alignment horizontal="center" vertical="center"/>
    </xf>
    <xf numFmtId="164" fontId="0" fillId="0" borderId="8" xfId="0" applyNumberFormat="1" applyBorder="1" applyAlignment="1">
      <alignment horizontal="center" vertical="center"/>
    </xf>
    <xf numFmtId="0" fontId="5" fillId="0" borderId="7" xfId="0" applyFont="1" applyBorder="1" applyAlignment="1">
      <alignment horizontal="center" vertical="center"/>
    </xf>
    <xf numFmtId="0" fontId="1" fillId="0" borderId="7" xfId="0" applyFont="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10" fillId="0" borderId="16" xfId="0" applyFont="1" applyBorder="1"/>
    <xf numFmtId="0" fontId="2" fillId="0" borderId="17" xfId="0" applyFont="1" applyBorder="1"/>
    <xf numFmtId="0" fontId="12" fillId="0" borderId="4" xfId="0" applyFont="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xf>
    <xf numFmtId="8" fontId="0" fillId="0" borderId="0" xfId="0" applyNumberForma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 fillId="0" borderId="0" xfId="0" applyFont="1" applyAlignment="1">
      <alignment horizontal="center" vertical="center"/>
    </xf>
    <xf numFmtId="164" fontId="0" fillId="0" borderId="5" xfId="0" applyNumberFormat="1" applyBorder="1" applyAlignment="1">
      <alignment horizontal="center" vertical="center"/>
    </xf>
    <xf numFmtId="164" fontId="0" fillId="0" borderId="3" xfId="0" applyNumberFormat="1" applyBorder="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20nouvelle%20cuisin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DAF7F-4837-46DC-A3C9-44D4348EDDE7}">
  <dimension ref="A1:Z268"/>
  <sheetViews>
    <sheetView workbookViewId="0">
      <pane xSplit="5" ySplit="5" topLeftCell="F47" activePane="bottomRight" state="frozen"/>
      <selection pane="topRight" activeCell="F1" sqref="F1"/>
      <selection pane="bottomLeft" activeCell="A6" sqref="A6"/>
      <selection pane="bottomRight" activeCell="C63" sqref="C63"/>
    </sheetView>
  </sheetViews>
  <sheetFormatPr baseColWidth="10" defaultRowHeight="15" x14ac:dyDescent="0.25"/>
  <cols>
    <col min="1" max="1" width="4.5703125" customWidth="1"/>
    <col min="2" max="2" width="23.28515625" customWidth="1"/>
    <col min="3" max="3" width="59.5703125" customWidth="1"/>
    <col min="4" max="5" width="3.7109375" customWidth="1"/>
    <col min="6" max="10" width="10.7109375" style="2" customWidth="1"/>
    <col min="11" max="11" width="3.7109375" style="2" customWidth="1"/>
    <col min="12" max="13" width="10.7109375" style="2" customWidth="1"/>
    <col min="14" max="19" width="13.7109375" style="2" customWidth="1"/>
    <col min="20" max="20" width="3.7109375" style="2" customWidth="1"/>
    <col min="21" max="22" width="10.7109375" style="2" customWidth="1"/>
    <col min="23" max="24" width="13.7109375" style="2" customWidth="1"/>
    <col min="25" max="25" width="13.7109375" customWidth="1"/>
    <col min="26" max="26" width="13.7109375" style="2" customWidth="1"/>
  </cols>
  <sheetData>
    <row r="1" spans="1:26" x14ac:dyDescent="0.25">
      <c r="A1" s="1" t="s">
        <v>0</v>
      </c>
      <c r="B1" s="1"/>
      <c r="F1" s="7">
        <v>44896</v>
      </c>
    </row>
    <row r="3" spans="1:26" s="1" customFormat="1" x14ac:dyDescent="0.25">
      <c r="F3" s="4"/>
      <c r="G3" s="4"/>
      <c r="H3" s="4"/>
      <c r="I3" s="4"/>
      <c r="J3" s="4"/>
      <c r="K3" s="4"/>
      <c r="L3" s="85" t="s">
        <v>1</v>
      </c>
      <c r="M3" s="85"/>
      <c r="N3" s="85"/>
      <c r="O3" s="85"/>
      <c r="P3" s="85"/>
      <c r="Q3" s="6"/>
      <c r="R3" s="6"/>
      <c r="S3" s="6"/>
      <c r="T3" s="4"/>
      <c r="U3" s="85" t="s">
        <v>2</v>
      </c>
      <c r="V3" s="85"/>
      <c r="W3" s="85"/>
      <c r="X3" s="85"/>
      <c r="Y3" s="85"/>
      <c r="Z3" s="6"/>
    </row>
    <row r="4" spans="1:26" s="1" customFormat="1" x14ac:dyDescent="0.25">
      <c r="F4" s="85" t="s">
        <v>14</v>
      </c>
      <c r="G4" s="85"/>
      <c r="H4" s="85"/>
      <c r="I4" s="85" t="s">
        <v>21</v>
      </c>
      <c r="J4" s="85"/>
      <c r="K4" s="4"/>
      <c r="L4" s="85" t="s">
        <v>3</v>
      </c>
      <c r="M4" s="85"/>
      <c r="N4" s="86" t="s">
        <v>4</v>
      </c>
      <c r="O4" s="86"/>
      <c r="P4" s="86"/>
      <c r="Q4" s="25"/>
      <c r="R4" s="25"/>
      <c r="S4" s="25"/>
      <c r="T4" s="4"/>
      <c r="U4" s="85" t="s">
        <v>3</v>
      </c>
      <c r="V4" s="85"/>
      <c r="W4" s="86" t="s">
        <v>4</v>
      </c>
      <c r="X4" s="86"/>
      <c r="Y4" s="86"/>
      <c r="Z4" s="25"/>
    </row>
    <row r="5" spans="1:26" x14ac:dyDescent="0.25">
      <c r="F5" s="6" t="s">
        <v>13</v>
      </c>
      <c r="G5" s="6" t="s">
        <v>43</v>
      </c>
      <c r="H5" s="6" t="s">
        <v>12</v>
      </c>
      <c r="I5" s="6" t="s">
        <v>28</v>
      </c>
      <c r="J5" s="6" t="s">
        <v>12</v>
      </c>
      <c r="K5" s="4"/>
      <c r="L5" s="6" t="s">
        <v>22</v>
      </c>
      <c r="M5" s="6" t="s">
        <v>12</v>
      </c>
      <c r="N5" s="6" t="s">
        <v>29</v>
      </c>
      <c r="O5" s="6" t="s">
        <v>30</v>
      </c>
      <c r="P5" s="6" t="s">
        <v>21</v>
      </c>
      <c r="Q5" s="6" t="s">
        <v>80</v>
      </c>
      <c r="R5" s="6" t="s">
        <v>81</v>
      </c>
      <c r="S5" s="6" t="s">
        <v>77</v>
      </c>
      <c r="T5" s="4"/>
      <c r="U5" s="6" t="s">
        <v>22</v>
      </c>
      <c r="V5" s="6" t="s">
        <v>12</v>
      </c>
      <c r="W5" s="6" t="s">
        <v>29</v>
      </c>
      <c r="X5" s="6" t="s">
        <v>30</v>
      </c>
      <c r="Y5" s="6" t="s">
        <v>21</v>
      </c>
      <c r="Z5" s="6" t="s">
        <v>77</v>
      </c>
    </row>
    <row r="6" spans="1:26" x14ac:dyDescent="0.25">
      <c r="B6" t="s">
        <v>5</v>
      </c>
      <c r="C6" t="s">
        <v>54</v>
      </c>
      <c r="E6" t="s">
        <v>49</v>
      </c>
      <c r="F6" s="3">
        <v>10</v>
      </c>
      <c r="G6" s="3"/>
      <c r="H6" s="3"/>
      <c r="I6" s="8">
        <v>15.9</v>
      </c>
      <c r="J6" s="2" t="s">
        <v>15</v>
      </c>
      <c r="K6" s="3"/>
      <c r="L6" s="18"/>
      <c r="M6" s="18"/>
      <c r="N6" s="19"/>
      <c r="O6" s="19"/>
      <c r="P6" s="19"/>
      <c r="Q6" s="26"/>
      <c r="R6" s="26"/>
      <c r="S6" s="19"/>
      <c r="T6" s="3"/>
      <c r="U6" s="14">
        <v>95</v>
      </c>
      <c r="V6" s="3" t="s">
        <v>15</v>
      </c>
      <c r="W6" s="8">
        <f>U6*F6</f>
        <v>950</v>
      </c>
      <c r="X6" s="8">
        <f>U6*G6</f>
        <v>0</v>
      </c>
      <c r="Y6" s="8">
        <f>U6*I6</f>
        <v>1510.5</v>
      </c>
      <c r="Z6" s="19"/>
    </row>
    <row r="7" spans="1:26" x14ac:dyDescent="0.25">
      <c r="C7" t="s">
        <v>54</v>
      </c>
      <c r="D7" t="s">
        <v>50</v>
      </c>
      <c r="F7" s="3">
        <v>10</v>
      </c>
      <c r="G7" s="3"/>
      <c r="H7" s="3"/>
      <c r="I7" s="8">
        <v>15.9</v>
      </c>
      <c r="J7" s="2" t="s">
        <v>15</v>
      </c>
      <c r="K7" s="3"/>
      <c r="L7" s="15">
        <v>35</v>
      </c>
      <c r="M7" s="13" t="s">
        <v>15</v>
      </c>
      <c r="N7" s="12">
        <f>F7*L7</f>
        <v>350</v>
      </c>
      <c r="O7" s="12"/>
      <c r="P7" s="12">
        <f>L7*I7</f>
        <v>556.5</v>
      </c>
      <c r="Q7" s="26">
        <f>322.71+561.99</f>
        <v>884.7</v>
      </c>
      <c r="R7" s="30"/>
      <c r="S7" s="19"/>
      <c r="T7" s="3"/>
      <c r="U7" s="18"/>
      <c r="V7" s="18"/>
      <c r="W7" s="19"/>
      <c r="X7" s="19"/>
      <c r="Y7" s="19"/>
      <c r="Z7" s="19"/>
    </row>
    <row r="8" spans="1:26" x14ac:dyDescent="0.25">
      <c r="C8" t="s">
        <v>83</v>
      </c>
      <c r="D8" t="s">
        <v>50</v>
      </c>
      <c r="E8" t="s">
        <v>49</v>
      </c>
      <c r="F8" s="3"/>
      <c r="G8" s="3"/>
      <c r="H8" s="3"/>
      <c r="I8" s="8"/>
      <c r="K8" s="3"/>
      <c r="L8" s="3"/>
      <c r="M8" s="3"/>
      <c r="N8" s="3"/>
      <c r="O8" s="3"/>
      <c r="P8" s="3"/>
      <c r="Q8" s="26"/>
      <c r="R8" s="26"/>
      <c r="S8" s="3"/>
      <c r="T8" s="3"/>
      <c r="U8" s="3"/>
      <c r="V8" s="3"/>
      <c r="W8" s="3"/>
      <c r="X8" s="3"/>
      <c r="Y8" s="3"/>
      <c r="Z8" s="3"/>
    </row>
    <row r="9" spans="1:26" x14ac:dyDescent="0.25">
      <c r="C9" t="s">
        <v>86</v>
      </c>
      <c r="D9" t="s">
        <v>50</v>
      </c>
      <c r="F9" s="3"/>
      <c r="G9" s="3"/>
      <c r="H9" s="3"/>
      <c r="I9" s="8"/>
      <c r="K9" s="3"/>
      <c r="L9" s="3"/>
      <c r="M9" s="3"/>
      <c r="N9" s="3"/>
      <c r="O9" s="3"/>
      <c r="P9" s="3"/>
      <c r="Q9" s="26">
        <v>145.01</v>
      </c>
      <c r="R9" s="26"/>
      <c r="S9" s="3"/>
      <c r="T9" s="3"/>
      <c r="U9" s="3"/>
      <c r="V9" s="3"/>
      <c r="W9" s="3"/>
      <c r="X9" s="3"/>
      <c r="Y9" s="3"/>
      <c r="Z9" s="3"/>
    </row>
    <row r="10" spans="1:26" x14ac:dyDescent="0.25">
      <c r="C10" t="s">
        <v>98</v>
      </c>
      <c r="D10" t="s">
        <v>50</v>
      </c>
      <c r="E10" t="s">
        <v>49</v>
      </c>
      <c r="F10" s="3">
        <v>45</v>
      </c>
      <c r="G10" s="3"/>
      <c r="H10" s="3"/>
      <c r="I10" s="8"/>
      <c r="K10" s="3"/>
      <c r="L10" s="15">
        <v>20</v>
      </c>
      <c r="M10" s="13" t="s">
        <v>15</v>
      </c>
      <c r="N10" s="12">
        <f t="shared" ref="N10:N16" si="0">F10*L10</f>
        <v>900</v>
      </c>
      <c r="O10" s="12"/>
      <c r="P10" s="12">
        <f t="shared" ref="P10:P16" si="1">L10*I10</f>
        <v>0</v>
      </c>
      <c r="Q10" s="26">
        <v>474.9</v>
      </c>
      <c r="R10" s="26">
        <v>1920.52</v>
      </c>
      <c r="S10" s="19"/>
      <c r="T10" s="3"/>
      <c r="U10" s="17">
        <v>40</v>
      </c>
      <c r="V10" s="11" t="s">
        <v>15</v>
      </c>
      <c r="W10" s="12">
        <f>U10*F10</f>
        <v>1800</v>
      </c>
      <c r="X10" s="12"/>
      <c r="Y10" s="8">
        <f t="shared" ref="Y10:Y70" si="2">U10*I10</f>
        <v>0</v>
      </c>
      <c r="Z10" s="19"/>
    </row>
    <row r="11" spans="1:26" x14ac:dyDescent="0.25">
      <c r="C11" t="s">
        <v>97</v>
      </c>
      <c r="D11" t="s">
        <v>50</v>
      </c>
      <c r="E11" t="s">
        <v>49</v>
      </c>
      <c r="F11" s="3">
        <v>50</v>
      </c>
      <c r="H11" s="3"/>
      <c r="I11" s="8"/>
      <c r="K11" s="3"/>
      <c r="L11" s="15">
        <v>23</v>
      </c>
      <c r="M11" s="13" t="s">
        <v>15</v>
      </c>
      <c r="N11" s="12">
        <f t="shared" si="0"/>
        <v>1150</v>
      </c>
      <c r="O11" s="12"/>
      <c r="P11" s="12">
        <f t="shared" si="1"/>
        <v>0</v>
      </c>
      <c r="Q11" s="26">
        <v>1542.67</v>
      </c>
      <c r="R11" s="87">
        <v>1383.2</v>
      </c>
      <c r="S11" s="19"/>
      <c r="T11" s="3"/>
      <c r="U11" s="17">
        <v>23</v>
      </c>
      <c r="V11" s="11" t="s">
        <v>15</v>
      </c>
      <c r="W11" s="12">
        <f>U11*F11</f>
        <v>1150</v>
      </c>
      <c r="X11" s="12"/>
      <c r="Y11" s="8">
        <f>U11*I11</f>
        <v>0</v>
      </c>
      <c r="Z11" s="19"/>
    </row>
    <row r="12" spans="1:26" x14ac:dyDescent="0.25">
      <c r="C12" t="s">
        <v>87</v>
      </c>
      <c r="D12" t="s">
        <v>50</v>
      </c>
      <c r="F12" s="3"/>
      <c r="H12" s="3"/>
      <c r="I12" s="8"/>
      <c r="K12" s="3"/>
      <c r="L12" s="15"/>
      <c r="M12" s="13"/>
      <c r="N12" s="12"/>
      <c r="O12" s="12"/>
      <c r="P12" s="12"/>
      <c r="Q12" s="26">
        <f>699.78+557.63</f>
        <v>1257.4099999999999</v>
      </c>
      <c r="R12" s="87"/>
      <c r="S12" s="19"/>
      <c r="T12" s="3"/>
      <c r="U12" s="17"/>
      <c r="V12" s="11"/>
      <c r="W12" s="12"/>
      <c r="X12" s="12"/>
      <c r="Y12" s="8"/>
      <c r="Z12" s="19"/>
    </row>
    <row r="13" spans="1:26" x14ac:dyDescent="0.25">
      <c r="C13" t="s">
        <v>99</v>
      </c>
      <c r="F13" s="3"/>
      <c r="H13" s="3"/>
      <c r="I13" s="8"/>
      <c r="K13" s="3"/>
      <c r="L13" s="15"/>
      <c r="M13" s="13"/>
      <c r="N13" s="12"/>
      <c r="O13" s="12"/>
      <c r="P13" s="12"/>
      <c r="Q13" s="26">
        <v>514.76</v>
      </c>
      <c r="R13" s="26">
        <v>505.4</v>
      </c>
      <c r="S13" s="19"/>
      <c r="T13" s="3"/>
      <c r="U13" s="17"/>
      <c r="V13" s="11"/>
      <c r="W13" s="12"/>
      <c r="X13" s="12"/>
      <c r="Y13" s="8"/>
      <c r="Z13" s="19"/>
    </row>
    <row r="14" spans="1:26" x14ac:dyDescent="0.25">
      <c r="C14" t="s">
        <v>100</v>
      </c>
      <c r="D14" t="s">
        <v>50</v>
      </c>
      <c r="E14" t="s">
        <v>49</v>
      </c>
      <c r="F14" s="3">
        <v>10</v>
      </c>
      <c r="G14" s="3">
        <v>12</v>
      </c>
      <c r="H14" s="3" t="s">
        <v>15</v>
      </c>
      <c r="I14" s="8"/>
      <c r="K14" s="3"/>
      <c r="L14" s="15">
        <f>20+23*2</f>
        <v>66</v>
      </c>
      <c r="M14" s="13" t="s">
        <v>15</v>
      </c>
      <c r="N14" s="12">
        <f t="shared" si="0"/>
        <v>660</v>
      </c>
      <c r="O14" s="12"/>
      <c r="P14" s="12">
        <f t="shared" si="1"/>
        <v>0</v>
      </c>
      <c r="Q14" s="26">
        <v>276.69</v>
      </c>
      <c r="R14" s="26">
        <v>170</v>
      </c>
      <c r="S14" s="19"/>
      <c r="T14" s="3"/>
      <c r="U14" s="17">
        <f>40+23*2</f>
        <v>86</v>
      </c>
      <c r="V14" s="11" t="s">
        <v>15</v>
      </c>
      <c r="W14" s="12">
        <f>U14*F14</f>
        <v>860</v>
      </c>
      <c r="X14" s="12">
        <f t="shared" ref="X14:X70" si="3">U14*G14</f>
        <v>1032</v>
      </c>
      <c r="Y14" s="8">
        <f t="shared" si="2"/>
        <v>0</v>
      </c>
      <c r="Z14" s="19"/>
    </row>
    <row r="15" spans="1:26" x14ac:dyDescent="0.25">
      <c r="C15" s="29" t="s">
        <v>101</v>
      </c>
      <c r="F15" s="3"/>
      <c r="G15" s="3"/>
      <c r="H15" s="3"/>
      <c r="I15" s="8"/>
      <c r="K15" s="3"/>
      <c r="L15" s="15"/>
      <c r="M15" s="13"/>
      <c r="N15" s="12"/>
      <c r="O15" s="12"/>
      <c r="P15" s="12"/>
      <c r="Q15" s="28"/>
      <c r="R15" s="28"/>
      <c r="S15" s="19"/>
      <c r="T15" s="3"/>
      <c r="U15" s="17"/>
      <c r="V15" s="11"/>
      <c r="W15" s="12"/>
      <c r="X15" s="12"/>
      <c r="Y15" s="8"/>
      <c r="Z15" s="19"/>
    </row>
    <row r="16" spans="1:26" x14ac:dyDescent="0.25">
      <c r="C16" t="s">
        <v>42</v>
      </c>
      <c r="D16" t="s">
        <v>50</v>
      </c>
      <c r="E16" t="s">
        <v>49</v>
      </c>
      <c r="F16" s="3">
        <v>12</v>
      </c>
      <c r="G16" s="3">
        <v>15</v>
      </c>
      <c r="H16" s="3" t="s">
        <v>15</v>
      </c>
      <c r="I16" s="8"/>
      <c r="K16" s="3"/>
      <c r="L16" s="15">
        <f>66+31</f>
        <v>97</v>
      </c>
      <c r="M16" s="13" t="s">
        <v>15</v>
      </c>
      <c r="N16" s="12">
        <f t="shared" si="0"/>
        <v>1164</v>
      </c>
      <c r="O16" s="12"/>
      <c r="P16" s="12">
        <f t="shared" si="1"/>
        <v>0</v>
      </c>
      <c r="Q16" s="28"/>
      <c r="R16" s="28"/>
      <c r="S16" s="19"/>
      <c r="T16" s="3"/>
      <c r="U16" s="17">
        <f>95+31</f>
        <v>126</v>
      </c>
      <c r="V16" s="11" t="s">
        <v>15</v>
      </c>
      <c r="W16" s="12">
        <f>U16*F16</f>
        <v>1512</v>
      </c>
      <c r="X16" s="12">
        <f t="shared" si="3"/>
        <v>1890</v>
      </c>
      <c r="Y16" s="8">
        <f t="shared" si="2"/>
        <v>0</v>
      </c>
      <c r="Z16" s="19"/>
    </row>
    <row r="17" spans="2:26" x14ac:dyDescent="0.25">
      <c r="F17" s="3"/>
      <c r="H17" s="3"/>
      <c r="I17" s="8"/>
      <c r="K17" s="3"/>
      <c r="N17" s="8"/>
      <c r="O17" s="8"/>
      <c r="P17" s="8"/>
      <c r="Q17" s="26"/>
      <c r="R17" s="26"/>
      <c r="S17" s="8"/>
      <c r="T17" s="3"/>
      <c r="W17" s="8"/>
      <c r="X17" s="8"/>
      <c r="Y17" s="8"/>
      <c r="Z17" s="8"/>
    </row>
    <row r="18" spans="2:26" x14ac:dyDescent="0.25">
      <c r="B18" t="s">
        <v>17</v>
      </c>
      <c r="C18" t="s">
        <v>19</v>
      </c>
      <c r="D18" t="s">
        <v>50</v>
      </c>
      <c r="E18" t="s">
        <v>49</v>
      </c>
      <c r="F18" s="11"/>
      <c r="G18" s="13"/>
      <c r="H18" s="11"/>
      <c r="I18" s="12"/>
      <c r="J18" s="13"/>
      <c r="K18" s="3"/>
      <c r="L18" s="13"/>
      <c r="M18" s="13"/>
      <c r="N18" s="12"/>
      <c r="O18" s="12"/>
      <c r="P18" s="12"/>
      <c r="Q18" s="26"/>
      <c r="R18" s="26"/>
      <c r="S18" s="19"/>
      <c r="T18" s="3"/>
      <c r="U18" s="13"/>
      <c r="V18" s="13"/>
      <c r="W18" s="12">
        <f>U18*F18</f>
        <v>0</v>
      </c>
      <c r="X18" s="12"/>
      <c r="Y18" s="8"/>
      <c r="Z18" s="19"/>
    </row>
    <row r="19" spans="2:26" x14ac:dyDescent="0.25">
      <c r="C19" t="s">
        <v>85</v>
      </c>
      <c r="D19" t="s">
        <v>50</v>
      </c>
      <c r="F19" s="11"/>
      <c r="G19" s="13"/>
      <c r="H19" s="11"/>
      <c r="I19" s="12"/>
      <c r="J19" s="13"/>
      <c r="K19" s="3"/>
      <c r="L19" s="13"/>
      <c r="M19" s="13"/>
      <c r="N19" s="12"/>
      <c r="O19" s="12"/>
      <c r="P19" s="12"/>
      <c r="Q19" s="26">
        <v>53.78</v>
      </c>
      <c r="R19" s="28"/>
      <c r="S19" s="19"/>
      <c r="T19" s="3"/>
      <c r="U19" s="13"/>
      <c r="V19" s="13"/>
      <c r="W19" s="12"/>
      <c r="X19" s="12"/>
      <c r="Y19" s="8"/>
      <c r="Z19" s="19"/>
    </row>
    <row r="20" spans="2:26" x14ac:dyDescent="0.25">
      <c r="C20" t="s">
        <v>18</v>
      </c>
      <c r="D20" t="s">
        <v>50</v>
      </c>
      <c r="E20" t="s">
        <v>49</v>
      </c>
      <c r="F20" s="3">
        <v>40</v>
      </c>
      <c r="H20" s="3" t="s">
        <v>15</v>
      </c>
      <c r="I20" s="8"/>
      <c r="K20" s="3"/>
      <c r="L20" s="15">
        <v>10</v>
      </c>
      <c r="M20" s="13" t="s">
        <v>15</v>
      </c>
      <c r="N20" s="12">
        <f t="shared" ref="N20" si="4">F20*L20</f>
        <v>400</v>
      </c>
      <c r="O20" s="12"/>
      <c r="P20" s="12"/>
      <c r="Q20" s="26"/>
      <c r="R20" s="26"/>
      <c r="S20" s="19"/>
      <c r="T20" s="3"/>
      <c r="U20" s="15">
        <v>10</v>
      </c>
      <c r="V20" s="21" t="s">
        <v>15</v>
      </c>
      <c r="W20" s="22">
        <f>U20*F20</f>
        <v>400</v>
      </c>
      <c r="X20" s="12"/>
      <c r="Y20" s="8"/>
      <c r="Z20" s="19"/>
    </row>
    <row r="21" spans="2:26" x14ac:dyDescent="0.25">
      <c r="C21" t="s">
        <v>60</v>
      </c>
      <c r="D21" t="s">
        <v>50</v>
      </c>
      <c r="E21" t="s">
        <v>49</v>
      </c>
      <c r="F21" s="3"/>
      <c r="H21" s="3"/>
      <c r="I21" s="8"/>
      <c r="K21" s="3"/>
      <c r="L21" s="15"/>
      <c r="M21" s="13"/>
      <c r="N21" s="12"/>
      <c r="O21" s="12"/>
      <c r="P21" s="12"/>
      <c r="Q21" s="26"/>
      <c r="R21" s="26"/>
      <c r="S21" s="19"/>
      <c r="T21" s="3"/>
      <c r="U21" s="15"/>
      <c r="V21" s="21"/>
      <c r="W21" s="22"/>
      <c r="X21" s="12"/>
      <c r="Y21" s="8"/>
      <c r="Z21" s="19"/>
    </row>
    <row r="22" spans="2:26" x14ac:dyDescent="0.25">
      <c r="C22" t="s">
        <v>55</v>
      </c>
      <c r="D22" t="s">
        <v>50</v>
      </c>
      <c r="E22" t="s">
        <v>49</v>
      </c>
      <c r="F22" s="3"/>
      <c r="H22" s="3"/>
      <c r="I22" s="8"/>
      <c r="K22" s="3"/>
      <c r="L22" s="15"/>
      <c r="M22" s="13"/>
      <c r="N22" s="12"/>
      <c r="O22" s="12"/>
      <c r="P22" s="12"/>
      <c r="Q22" s="26"/>
      <c r="R22" s="26"/>
      <c r="S22" s="19"/>
      <c r="T22" s="3"/>
      <c r="U22" s="15"/>
      <c r="V22" s="21"/>
      <c r="W22" s="22"/>
      <c r="X22" s="12"/>
      <c r="Y22" s="8"/>
      <c r="Z22" s="19"/>
    </row>
    <row r="23" spans="2:26" x14ac:dyDescent="0.25">
      <c r="C23" t="s">
        <v>79</v>
      </c>
      <c r="F23" s="3"/>
      <c r="H23" s="3"/>
      <c r="I23" s="8"/>
      <c r="K23" s="3"/>
      <c r="L23" s="15"/>
      <c r="M23" s="13"/>
      <c r="N23" s="12"/>
      <c r="O23" s="12"/>
      <c r="P23" s="12"/>
      <c r="Q23" s="26"/>
      <c r="R23" s="26"/>
      <c r="S23" s="19"/>
      <c r="T23" s="3"/>
      <c r="U23" s="15"/>
      <c r="V23" s="21"/>
      <c r="W23" s="22"/>
      <c r="X23" s="12"/>
      <c r="Y23" s="8"/>
      <c r="Z23" s="19"/>
    </row>
    <row r="24" spans="2:26" x14ac:dyDescent="0.25">
      <c r="I24" s="8"/>
      <c r="N24" s="8"/>
      <c r="O24" s="8"/>
      <c r="P24" s="8"/>
      <c r="Q24" s="26"/>
      <c r="R24" s="26"/>
      <c r="S24" s="8"/>
      <c r="W24" s="8"/>
      <c r="X24" s="8"/>
      <c r="Y24" s="8"/>
      <c r="Z24" s="8"/>
    </row>
    <row r="27" spans="2:26" ht="17.25" x14ac:dyDescent="0.25">
      <c r="B27" t="s">
        <v>44</v>
      </c>
      <c r="C27" t="s">
        <v>33</v>
      </c>
      <c r="D27" t="s">
        <v>50</v>
      </c>
      <c r="I27" s="23">
        <v>854.69</v>
      </c>
      <c r="J27" s="2" t="s">
        <v>27</v>
      </c>
      <c r="L27" s="13">
        <v>0.81</v>
      </c>
      <c r="M27" s="13" t="s">
        <v>27</v>
      </c>
      <c r="N27" s="16">
        <f>L27*F27</f>
        <v>0</v>
      </c>
      <c r="O27" s="16">
        <f>L27*G27</f>
        <v>0</v>
      </c>
      <c r="P27" s="23">
        <f>L27*I27</f>
        <v>692.29890000000012</v>
      </c>
      <c r="Q27" s="26">
        <v>315.44</v>
      </c>
      <c r="R27" s="87">
        <v>925</v>
      </c>
      <c r="S27" s="19"/>
      <c r="U27" s="18"/>
      <c r="V27" s="18"/>
      <c r="W27" s="19"/>
      <c r="X27" s="19"/>
      <c r="Y27" s="19"/>
      <c r="Z27" s="19"/>
    </row>
    <row r="28" spans="2:26" ht="17.25" x14ac:dyDescent="0.25">
      <c r="C28" t="s">
        <v>34</v>
      </c>
      <c r="D28" t="s">
        <v>50</v>
      </c>
      <c r="I28" s="23">
        <v>225.83</v>
      </c>
      <c r="J28" s="2" t="s">
        <v>27</v>
      </c>
      <c r="L28" s="13">
        <v>1</v>
      </c>
      <c r="M28" s="13" t="s">
        <v>27</v>
      </c>
      <c r="N28" s="16">
        <f t="shared" ref="N28:N29" si="5">L28*F28</f>
        <v>0</v>
      </c>
      <c r="O28" s="16">
        <f t="shared" ref="O28:O29" si="6">L28*G28</f>
        <v>0</v>
      </c>
      <c r="P28" s="23">
        <f t="shared" ref="P28:P29" si="7">L28*I28</f>
        <v>225.83</v>
      </c>
      <c r="Q28" s="26">
        <v>408.34</v>
      </c>
      <c r="R28" s="87"/>
      <c r="S28" s="19"/>
      <c r="U28" s="18"/>
      <c r="V28" s="18"/>
      <c r="W28" s="19"/>
      <c r="X28" s="19"/>
      <c r="Y28" s="19"/>
      <c r="Z28" s="19"/>
    </row>
    <row r="29" spans="2:26" ht="17.25" x14ac:dyDescent="0.25">
      <c r="C29" t="s">
        <v>31</v>
      </c>
      <c r="D29" t="s">
        <v>50</v>
      </c>
      <c r="I29" s="8">
        <v>682.64</v>
      </c>
      <c r="J29" s="2" t="s">
        <v>27</v>
      </c>
      <c r="L29" s="24">
        <v>1</v>
      </c>
      <c r="M29" s="13" t="s">
        <v>27</v>
      </c>
      <c r="N29" s="16">
        <f t="shared" si="5"/>
        <v>0</v>
      </c>
      <c r="O29" s="16">
        <f t="shared" si="6"/>
        <v>0</v>
      </c>
      <c r="P29" s="16">
        <f t="shared" si="7"/>
        <v>682.64</v>
      </c>
      <c r="Q29" s="26">
        <v>1168.97</v>
      </c>
      <c r="R29" s="26">
        <v>695</v>
      </c>
      <c r="S29" s="19"/>
      <c r="U29" s="18"/>
      <c r="V29" s="18"/>
      <c r="W29" s="19"/>
      <c r="X29" s="19"/>
      <c r="Y29" s="19"/>
      <c r="Z29" s="19"/>
    </row>
    <row r="30" spans="2:26" ht="17.25" x14ac:dyDescent="0.25">
      <c r="C30" t="s">
        <v>70</v>
      </c>
      <c r="D30" t="s">
        <v>50</v>
      </c>
      <c r="F30" s="5">
        <v>100</v>
      </c>
      <c r="I30" s="23">
        <v>137.58000000000001</v>
      </c>
      <c r="J30" s="2" t="s">
        <v>27</v>
      </c>
      <c r="L30" s="24">
        <v>12.8</v>
      </c>
      <c r="M30" s="13" t="s">
        <v>27</v>
      </c>
      <c r="N30" s="16">
        <f>L30*F30</f>
        <v>1280</v>
      </c>
      <c r="O30" s="16">
        <f>L30*G30</f>
        <v>0</v>
      </c>
      <c r="P30" s="23">
        <f>L30*I30</f>
        <v>1761.0240000000003</v>
      </c>
      <c r="Q30" s="26">
        <v>1055.19</v>
      </c>
      <c r="R30" s="26">
        <v>1628</v>
      </c>
      <c r="S30" s="19"/>
      <c r="U30" s="18"/>
      <c r="V30" s="18"/>
      <c r="W30" s="19"/>
      <c r="X30" s="19"/>
      <c r="Y30" s="19"/>
      <c r="Z30" s="19"/>
    </row>
    <row r="31" spans="2:26" ht="17.25" x14ac:dyDescent="0.25">
      <c r="C31" t="s">
        <v>71</v>
      </c>
      <c r="D31" t="s">
        <v>50</v>
      </c>
      <c r="F31" s="5"/>
      <c r="I31" s="23">
        <v>1778.88</v>
      </c>
      <c r="J31" s="2" t="s">
        <v>27</v>
      </c>
      <c r="L31" s="13">
        <v>0.24</v>
      </c>
      <c r="M31" s="13" t="s">
        <v>27</v>
      </c>
      <c r="N31" s="16"/>
      <c r="O31" s="16"/>
      <c r="P31" s="23">
        <f>L31*I31</f>
        <v>426.93119999999999</v>
      </c>
      <c r="Q31" s="26">
        <f>299.92+731.85</f>
        <v>1031.77</v>
      </c>
      <c r="R31" s="26">
        <v>685</v>
      </c>
      <c r="S31" s="19"/>
      <c r="U31" s="18"/>
      <c r="V31" s="18"/>
      <c r="W31" s="19"/>
      <c r="X31" s="19"/>
      <c r="Y31" s="19"/>
      <c r="Z31" s="19"/>
    </row>
    <row r="32" spans="2:26" ht="17.25" x14ac:dyDescent="0.25">
      <c r="C32" t="s">
        <v>35</v>
      </c>
      <c r="D32" t="s">
        <v>50</v>
      </c>
      <c r="F32" s="3"/>
      <c r="I32" s="23">
        <v>3284.64</v>
      </c>
      <c r="J32" s="2" t="s">
        <v>27</v>
      </c>
      <c r="L32" s="15">
        <v>0.1</v>
      </c>
      <c r="M32" s="13" t="s">
        <v>27</v>
      </c>
      <c r="N32" s="16">
        <f t="shared" ref="N32:N36" si="8">L32*F32</f>
        <v>0</v>
      </c>
      <c r="O32" s="16">
        <f t="shared" ref="O32:O36" si="9">L32*G32</f>
        <v>0</v>
      </c>
      <c r="P32" s="16">
        <f t="shared" ref="P32:P38" si="10">L32*I32</f>
        <v>328.464</v>
      </c>
      <c r="Q32" s="26">
        <v>591.84</v>
      </c>
      <c r="R32" s="26">
        <v>356.8</v>
      </c>
      <c r="S32" s="19"/>
      <c r="U32" s="18"/>
      <c r="V32" s="18"/>
      <c r="W32" s="19"/>
      <c r="X32" s="19"/>
      <c r="Y32" s="19"/>
      <c r="Z32" s="19"/>
    </row>
    <row r="33" spans="2:26" x14ac:dyDescent="0.25">
      <c r="C33" t="s">
        <v>72</v>
      </c>
      <c r="D33" t="s">
        <v>50</v>
      </c>
      <c r="F33" s="3"/>
      <c r="I33" s="23">
        <v>135.88999999999999</v>
      </c>
      <c r="J33" s="2" t="s">
        <v>37</v>
      </c>
      <c r="L33" s="13">
        <v>9</v>
      </c>
      <c r="M33" s="13" t="s">
        <v>37</v>
      </c>
      <c r="N33" s="16"/>
      <c r="O33" s="16"/>
      <c r="P33" s="16">
        <f t="shared" si="10"/>
        <v>1223.0099999999998</v>
      </c>
      <c r="Q33" s="26">
        <v>484.02</v>
      </c>
      <c r="R33" s="87">
        <v>2750</v>
      </c>
      <c r="S33" s="19"/>
      <c r="U33" s="18"/>
      <c r="V33" s="18"/>
      <c r="W33" s="19"/>
      <c r="X33" s="19"/>
      <c r="Y33" s="19"/>
      <c r="Z33" s="19"/>
    </row>
    <row r="34" spans="2:26" x14ac:dyDescent="0.25">
      <c r="C34" t="s">
        <v>11</v>
      </c>
      <c r="D34" t="s">
        <v>50</v>
      </c>
      <c r="I34" s="23">
        <v>210.97</v>
      </c>
      <c r="J34" s="2" t="s">
        <v>37</v>
      </c>
      <c r="L34" s="13">
        <v>9</v>
      </c>
      <c r="M34" s="13" t="s">
        <v>37</v>
      </c>
      <c r="N34" s="16">
        <f>L34*F34</f>
        <v>0</v>
      </c>
      <c r="O34" s="16">
        <f>L34*G34</f>
        <v>0</v>
      </c>
      <c r="P34" s="16">
        <f>L34*I34</f>
        <v>1898.73</v>
      </c>
      <c r="Q34" s="26">
        <v>888.21</v>
      </c>
      <c r="R34" s="87"/>
      <c r="S34" s="19"/>
      <c r="U34" s="18"/>
      <c r="V34" s="18"/>
      <c r="W34" s="19"/>
      <c r="X34" s="19"/>
      <c r="Y34" s="19"/>
      <c r="Z34" s="19"/>
    </row>
    <row r="35" spans="2:26" x14ac:dyDescent="0.25">
      <c r="C35" t="s">
        <v>51</v>
      </c>
      <c r="D35" t="s">
        <v>50</v>
      </c>
      <c r="F35" s="3">
        <v>20</v>
      </c>
      <c r="I35" s="23">
        <v>36.130000000000003</v>
      </c>
      <c r="J35" s="2" t="s">
        <v>16</v>
      </c>
      <c r="L35" s="13">
        <v>12</v>
      </c>
      <c r="M35" s="13" t="s">
        <v>16</v>
      </c>
      <c r="N35" s="16">
        <f>L35*F35</f>
        <v>240</v>
      </c>
      <c r="O35" s="16">
        <f>L35*G35</f>
        <v>0</v>
      </c>
      <c r="P35" s="16">
        <f>L35*I35</f>
        <v>433.56000000000006</v>
      </c>
      <c r="Q35" s="26">
        <v>814.9</v>
      </c>
      <c r="R35" s="26">
        <v>943.36</v>
      </c>
      <c r="S35" s="19"/>
      <c r="U35" s="18"/>
      <c r="V35" s="18"/>
      <c r="W35" s="19"/>
      <c r="X35" s="19"/>
      <c r="Y35" s="19"/>
      <c r="Z35" s="19"/>
    </row>
    <row r="36" spans="2:26" x14ac:dyDescent="0.25">
      <c r="C36" t="s">
        <v>52</v>
      </c>
      <c r="D36" t="s">
        <v>50</v>
      </c>
      <c r="E36" s="20"/>
      <c r="F36" s="11"/>
      <c r="G36" s="13"/>
      <c r="H36" s="13"/>
      <c r="I36" s="12">
        <v>925</v>
      </c>
      <c r="J36" s="13">
        <v>1</v>
      </c>
      <c r="L36" s="15">
        <v>1</v>
      </c>
      <c r="M36" s="13" t="s">
        <v>37</v>
      </c>
      <c r="N36" s="16">
        <f t="shared" si="8"/>
        <v>0</v>
      </c>
      <c r="O36" s="16">
        <f t="shared" si="9"/>
        <v>0</v>
      </c>
      <c r="P36" s="16">
        <f t="shared" si="10"/>
        <v>925</v>
      </c>
      <c r="Q36" s="26">
        <v>628.29999999999995</v>
      </c>
      <c r="R36" s="28"/>
      <c r="S36" s="19"/>
      <c r="U36" s="18"/>
      <c r="V36" s="18"/>
      <c r="W36" s="19"/>
      <c r="X36" s="19"/>
      <c r="Y36" s="19"/>
      <c r="Z36" s="19"/>
    </row>
    <row r="37" spans="2:26" x14ac:dyDescent="0.25">
      <c r="C37" t="s">
        <v>73</v>
      </c>
      <c r="D37" t="s">
        <v>50</v>
      </c>
      <c r="I37" s="23">
        <v>50</v>
      </c>
      <c r="J37" s="2" t="s">
        <v>37</v>
      </c>
      <c r="L37" s="2">
        <v>2</v>
      </c>
      <c r="M37" s="2" t="s">
        <v>37</v>
      </c>
      <c r="P37" s="8">
        <f t="shared" si="10"/>
        <v>100</v>
      </c>
      <c r="Q37" s="26">
        <v>70.739999999999995</v>
      </c>
      <c r="R37" s="28"/>
      <c r="S37" s="19"/>
      <c r="Z37" s="19"/>
    </row>
    <row r="38" spans="2:26" x14ac:dyDescent="0.25">
      <c r="C38" t="s">
        <v>74</v>
      </c>
      <c r="D38" t="s">
        <v>50</v>
      </c>
      <c r="E38" s="2"/>
      <c r="I38" s="8">
        <v>670</v>
      </c>
      <c r="J38" s="2" t="s">
        <v>37</v>
      </c>
      <c r="L38" s="2">
        <v>2</v>
      </c>
      <c r="M38" s="2" t="s">
        <v>37</v>
      </c>
      <c r="P38" s="8">
        <f t="shared" si="10"/>
        <v>1340</v>
      </c>
      <c r="Q38" s="26">
        <v>454.5</v>
      </c>
      <c r="R38" s="28"/>
      <c r="S38" s="19"/>
      <c r="Y38" s="2"/>
      <c r="Z38" s="19"/>
    </row>
    <row r="39" spans="2:26" x14ac:dyDescent="0.25">
      <c r="C39" t="s">
        <v>41</v>
      </c>
      <c r="D39" t="s">
        <v>50</v>
      </c>
      <c r="E39" s="20"/>
      <c r="F39" s="11"/>
      <c r="G39" s="11"/>
      <c r="H39" s="13"/>
      <c r="I39" s="12"/>
      <c r="J39" s="13"/>
      <c r="L39" s="13"/>
      <c r="M39" s="13"/>
      <c r="N39" s="12"/>
      <c r="O39" s="12"/>
      <c r="P39" s="19"/>
      <c r="Q39" s="19"/>
      <c r="R39" s="19"/>
      <c r="S39" s="12">
        <v>957.14</v>
      </c>
      <c r="U39" s="13"/>
      <c r="V39" s="13"/>
      <c r="W39" s="12"/>
      <c r="X39" s="12"/>
      <c r="Y39" s="8"/>
      <c r="Z39" s="19"/>
    </row>
    <row r="40" spans="2:26" ht="17.25" x14ac:dyDescent="0.25">
      <c r="C40" t="s">
        <v>33</v>
      </c>
      <c r="E40" t="s">
        <v>49</v>
      </c>
      <c r="I40" s="8">
        <v>171.73</v>
      </c>
      <c r="J40" s="2" t="s">
        <v>27</v>
      </c>
      <c r="L40" s="18"/>
      <c r="M40" s="18"/>
      <c r="N40" s="19"/>
      <c r="O40" s="19"/>
      <c r="P40" s="19"/>
      <c r="Q40" s="19"/>
      <c r="R40" s="19"/>
      <c r="S40" s="19"/>
      <c r="U40" s="2">
        <v>0.15</v>
      </c>
      <c r="V40" s="2" t="s">
        <v>27</v>
      </c>
      <c r="W40" s="8">
        <f>U40*F40</f>
        <v>0</v>
      </c>
      <c r="X40" s="8">
        <f>U40*G40</f>
        <v>0</v>
      </c>
      <c r="Y40" s="8">
        <f>U40*I40</f>
        <v>25.759499999999999</v>
      </c>
      <c r="Z40" s="19"/>
    </row>
    <row r="41" spans="2:26" ht="17.25" x14ac:dyDescent="0.25">
      <c r="C41" t="s">
        <v>34</v>
      </c>
      <c r="E41" t="s">
        <v>49</v>
      </c>
      <c r="I41" s="8">
        <v>139.37</v>
      </c>
      <c r="J41" s="2" t="s">
        <v>27</v>
      </c>
      <c r="L41" s="18"/>
      <c r="M41" s="18"/>
      <c r="N41" s="19"/>
      <c r="O41" s="19"/>
      <c r="P41" s="19"/>
      <c r="Q41" s="19"/>
      <c r="R41" s="19"/>
      <c r="S41" s="19"/>
      <c r="U41" s="2">
        <v>0.2</v>
      </c>
      <c r="V41" s="2" t="s">
        <v>27</v>
      </c>
      <c r="W41" s="8">
        <f>U41*F41</f>
        <v>0</v>
      </c>
      <c r="X41" s="8">
        <f>U41*G41</f>
        <v>0</v>
      </c>
      <c r="Y41" s="8">
        <f>U41*I41</f>
        <v>27.874000000000002</v>
      </c>
      <c r="Z41" s="19"/>
    </row>
    <row r="42" spans="2:26" ht="17.25" x14ac:dyDescent="0.25">
      <c r="C42" t="s">
        <v>46</v>
      </c>
      <c r="E42" t="s">
        <v>49</v>
      </c>
      <c r="I42" s="8">
        <v>2838.48</v>
      </c>
      <c r="J42" s="2" t="s">
        <v>27</v>
      </c>
      <c r="L42" s="18"/>
      <c r="M42" s="18"/>
      <c r="N42" s="19"/>
      <c r="O42" s="19"/>
      <c r="P42" s="19"/>
      <c r="Q42" s="19"/>
      <c r="R42" s="19"/>
      <c r="S42" s="19"/>
      <c r="U42" s="2">
        <v>0.1</v>
      </c>
      <c r="V42" s="2" t="s">
        <v>27</v>
      </c>
      <c r="W42" s="8">
        <f>U42*F42</f>
        <v>0</v>
      </c>
      <c r="X42" s="8">
        <f t="shared" si="3"/>
        <v>0</v>
      </c>
      <c r="Y42" s="8">
        <f t="shared" si="2"/>
        <v>283.84800000000001</v>
      </c>
      <c r="Z42" s="19"/>
    </row>
    <row r="43" spans="2:26" ht="17.25" x14ac:dyDescent="0.25">
      <c r="C43" t="s">
        <v>48</v>
      </c>
      <c r="E43" t="s">
        <v>49</v>
      </c>
      <c r="I43" s="8">
        <v>3065.67</v>
      </c>
      <c r="J43" s="2" t="s">
        <v>27</v>
      </c>
      <c r="L43" s="18"/>
      <c r="M43" s="18"/>
      <c r="N43" s="19"/>
      <c r="O43" s="19"/>
      <c r="P43" s="19"/>
      <c r="Q43" s="19"/>
      <c r="R43" s="19"/>
      <c r="S43" s="19"/>
      <c r="U43" s="2">
        <v>0.09</v>
      </c>
      <c r="V43" s="2" t="s">
        <v>27</v>
      </c>
      <c r="W43" s="8">
        <f>U43*F43</f>
        <v>0</v>
      </c>
      <c r="X43" s="8">
        <f t="shared" si="3"/>
        <v>0</v>
      </c>
      <c r="Y43" s="8">
        <f t="shared" si="2"/>
        <v>275.91030000000001</v>
      </c>
      <c r="Z43" s="19"/>
    </row>
    <row r="44" spans="2:26" ht="17.25" x14ac:dyDescent="0.25">
      <c r="C44" t="s">
        <v>47</v>
      </c>
      <c r="E44" t="s">
        <v>49</v>
      </c>
      <c r="F44" s="3"/>
      <c r="G44" s="3"/>
      <c r="I44" s="8">
        <v>579.89</v>
      </c>
      <c r="J44" s="2" t="s">
        <v>27</v>
      </c>
      <c r="L44" s="18"/>
      <c r="M44" s="18"/>
      <c r="N44" s="19"/>
      <c r="O44" s="19"/>
      <c r="P44" s="19"/>
      <c r="Q44" s="19"/>
      <c r="R44" s="19"/>
      <c r="S44" s="19"/>
      <c r="U44" s="2">
        <v>0.2</v>
      </c>
      <c r="V44" s="2" t="s">
        <v>27</v>
      </c>
      <c r="W44" s="8">
        <f>U44*F29</f>
        <v>0</v>
      </c>
      <c r="X44" s="8">
        <f>U44*G29</f>
        <v>0</v>
      </c>
      <c r="Y44" s="8">
        <f>U44*I44</f>
        <v>115.97800000000001</v>
      </c>
      <c r="Z44" s="19"/>
    </row>
    <row r="45" spans="2:26" x14ac:dyDescent="0.25">
      <c r="C45" t="s">
        <v>56</v>
      </c>
      <c r="E45" t="s">
        <v>49</v>
      </c>
      <c r="F45" s="11"/>
      <c r="G45" s="11"/>
      <c r="H45" s="13"/>
      <c r="I45" s="12"/>
      <c r="J45" s="13"/>
      <c r="L45" s="13"/>
      <c r="M45" s="13"/>
      <c r="N45" s="12"/>
      <c r="O45" s="12"/>
      <c r="P45" s="12"/>
      <c r="Q45" s="26"/>
      <c r="R45" s="26"/>
      <c r="S45" s="19"/>
      <c r="U45" s="13"/>
      <c r="V45" s="13"/>
      <c r="W45" s="12"/>
      <c r="X45" s="12"/>
      <c r="Y45" s="8"/>
      <c r="Z45" s="16">
        <f>2*957.14/3</f>
        <v>638.09333333333336</v>
      </c>
    </row>
    <row r="46" spans="2:26" x14ac:dyDescent="0.25">
      <c r="I46" s="8"/>
      <c r="Q46" s="26"/>
      <c r="R46" s="26"/>
      <c r="W46" s="8"/>
      <c r="X46" s="8"/>
      <c r="Y46" s="8"/>
    </row>
    <row r="47" spans="2:26" x14ac:dyDescent="0.25">
      <c r="B47" t="s">
        <v>45</v>
      </c>
      <c r="C47" t="s">
        <v>36</v>
      </c>
      <c r="E47" t="s">
        <v>49</v>
      </c>
      <c r="F47" s="3"/>
      <c r="G47" s="3"/>
      <c r="H47" s="3"/>
      <c r="I47" s="8">
        <v>45.01</v>
      </c>
      <c r="J47" s="2" t="s">
        <v>37</v>
      </c>
      <c r="K47" s="3"/>
      <c r="L47" s="18"/>
      <c r="M47" s="18"/>
      <c r="N47" s="19"/>
      <c r="O47" s="19"/>
      <c r="P47" s="19"/>
      <c r="Q47" s="26"/>
      <c r="R47" s="26"/>
      <c r="S47" s="19"/>
      <c r="T47" s="3"/>
      <c r="U47" s="2">
        <v>22</v>
      </c>
      <c r="V47" s="2" t="s">
        <v>37</v>
      </c>
      <c r="W47" s="8">
        <f>U47*F47</f>
        <v>0</v>
      </c>
      <c r="X47" s="8">
        <f>U47*G47</f>
        <v>0</v>
      </c>
      <c r="Y47" s="8">
        <f>U47*I47</f>
        <v>990.21999999999991</v>
      </c>
      <c r="Z47" s="19"/>
    </row>
    <row r="48" spans="2:26" x14ac:dyDescent="0.25">
      <c r="C48" t="s">
        <v>20</v>
      </c>
      <c r="E48" t="s">
        <v>49</v>
      </c>
      <c r="F48" s="3">
        <v>100</v>
      </c>
      <c r="G48" s="3">
        <v>110</v>
      </c>
      <c r="H48" s="2" t="s">
        <v>15</v>
      </c>
      <c r="I48" s="8">
        <v>195.28</v>
      </c>
      <c r="J48" s="2" t="s">
        <v>15</v>
      </c>
      <c r="L48" s="18"/>
      <c r="M48" s="18"/>
      <c r="N48" s="19"/>
      <c r="O48" s="19"/>
      <c r="P48" s="19"/>
      <c r="Q48" s="26"/>
      <c r="R48" s="26"/>
      <c r="S48" s="19"/>
      <c r="U48" s="2">
        <v>22.45</v>
      </c>
      <c r="V48" s="2" t="s">
        <v>15</v>
      </c>
      <c r="W48" s="8">
        <f>U48*F48</f>
        <v>2245</v>
      </c>
      <c r="X48" s="8">
        <f>U48*G48</f>
        <v>2469.5</v>
      </c>
      <c r="Y48" s="8">
        <f>U48*I48</f>
        <v>4384.0360000000001</v>
      </c>
      <c r="Z48" s="19"/>
    </row>
    <row r="49" spans="2:26" ht="17.25" x14ac:dyDescent="0.25">
      <c r="C49" t="s">
        <v>38</v>
      </c>
      <c r="E49" t="s">
        <v>49</v>
      </c>
      <c r="F49" s="3"/>
      <c r="G49" s="3"/>
      <c r="I49" s="8">
        <v>349.81</v>
      </c>
      <c r="J49" s="2" t="s">
        <v>27</v>
      </c>
      <c r="L49" s="18"/>
      <c r="M49" s="18"/>
      <c r="N49" s="19"/>
      <c r="O49" s="19"/>
      <c r="P49" s="19"/>
      <c r="Q49" s="26"/>
      <c r="R49" s="26"/>
      <c r="S49" s="19"/>
      <c r="U49" s="2">
        <v>0.68</v>
      </c>
      <c r="V49" s="2" t="s">
        <v>27</v>
      </c>
      <c r="W49" s="8">
        <f>U49*F49</f>
        <v>0</v>
      </c>
      <c r="X49" s="8">
        <f>U49*G49</f>
        <v>0</v>
      </c>
      <c r="Y49" s="8">
        <f>U49*I49</f>
        <v>237.87080000000003</v>
      </c>
      <c r="Z49" s="19"/>
    </row>
    <row r="50" spans="2:26" x14ac:dyDescent="0.25">
      <c r="C50" t="s">
        <v>39</v>
      </c>
      <c r="E50" t="s">
        <v>49</v>
      </c>
      <c r="F50" s="3"/>
      <c r="G50" s="3"/>
      <c r="I50" s="8">
        <v>89.45</v>
      </c>
      <c r="J50" s="2" t="s">
        <v>37</v>
      </c>
      <c r="L50" s="18"/>
      <c r="M50" s="18"/>
      <c r="N50" s="19"/>
      <c r="O50" s="19"/>
      <c r="P50" s="19"/>
      <c r="Q50" s="26"/>
      <c r="R50" s="26"/>
      <c r="S50" s="19"/>
      <c r="U50" s="2">
        <v>3</v>
      </c>
      <c r="V50" s="2" t="s">
        <v>37</v>
      </c>
      <c r="W50" s="8">
        <f>U50*F50</f>
        <v>0</v>
      </c>
      <c r="X50" s="8">
        <f>U50*G50</f>
        <v>0</v>
      </c>
      <c r="Y50" s="8">
        <f>U50*I50</f>
        <v>268.35000000000002</v>
      </c>
      <c r="Z50" s="19"/>
    </row>
    <row r="51" spans="2:26" x14ac:dyDescent="0.25">
      <c r="I51" s="8"/>
      <c r="N51" s="8"/>
      <c r="O51" s="8"/>
      <c r="P51" s="8"/>
      <c r="Q51" s="26"/>
      <c r="R51" s="26"/>
      <c r="S51" s="8"/>
      <c r="W51" s="8"/>
      <c r="X51" s="8"/>
      <c r="Y51" s="8"/>
      <c r="Z51" s="8"/>
    </row>
    <row r="52" spans="2:26" x14ac:dyDescent="0.25">
      <c r="B52" t="s">
        <v>6</v>
      </c>
      <c r="C52" t="s">
        <v>23</v>
      </c>
      <c r="E52" t="s">
        <v>49</v>
      </c>
      <c r="I52" s="8">
        <v>33.450000000000003</v>
      </c>
      <c r="J52" s="2" t="s">
        <v>15</v>
      </c>
      <c r="L52" s="18">
        <v>30.45</v>
      </c>
      <c r="M52" s="18"/>
      <c r="N52" s="19"/>
      <c r="O52" s="19"/>
      <c r="P52" s="19">
        <f>L52*I52</f>
        <v>1018.5525</v>
      </c>
      <c r="Q52" s="26"/>
      <c r="R52" s="26"/>
      <c r="S52" s="19"/>
      <c r="U52" s="2">
        <v>30.45</v>
      </c>
      <c r="V52" s="2" t="s">
        <v>15</v>
      </c>
      <c r="W52" s="8">
        <f t="shared" ref="W52:W55" si="11">U52*F52</f>
        <v>0</v>
      </c>
      <c r="X52" s="8">
        <f t="shared" si="3"/>
        <v>0</v>
      </c>
      <c r="Y52" s="8">
        <f t="shared" si="2"/>
        <v>1018.5525</v>
      </c>
      <c r="Z52" s="19"/>
    </row>
    <row r="53" spans="2:26" x14ac:dyDescent="0.25">
      <c r="C53" t="s">
        <v>24</v>
      </c>
      <c r="E53" t="s">
        <v>49</v>
      </c>
      <c r="I53" s="8">
        <v>27.82</v>
      </c>
      <c r="J53" s="2" t="s">
        <v>15</v>
      </c>
      <c r="L53" s="18"/>
      <c r="M53" s="18"/>
      <c r="N53" s="19"/>
      <c r="O53" s="19"/>
      <c r="P53" s="19"/>
      <c r="Q53" s="26"/>
      <c r="R53" s="26"/>
      <c r="S53" s="19"/>
      <c r="U53" s="2">
        <v>24.45</v>
      </c>
      <c r="V53" s="2" t="s">
        <v>15</v>
      </c>
      <c r="W53" s="8">
        <f t="shared" si="11"/>
        <v>0</v>
      </c>
      <c r="X53" s="8">
        <f t="shared" si="3"/>
        <v>0</v>
      </c>
      <c r="Y53" s="8">
        <f t="shared" si="2"/>
        <v>680.19899999999996</v>
      </c>
      <c r="Z53" s="19"/>
    </row>
    <row r="54" spans="2:26" x14ac:dyDescent="0.25">
      <c r="C54" t="s">
        <v>7</v>
      </c>
      <c r="F54" s="3">
        <v>25</v>
      </c>
      <c r="H54" s="3" t="s">
        <v>15</v>
      </c>
      <c r="I54" s="18"/>
      <c r="J54" s="18"/>
      <c r="K54" s="3"/>
      <c r="L54" s="18"/>
      <c r="M54" s="18"/>
      <c r="N54" s="19"/>
      <c r="O54" s="19"/>
      <c r="P54" s="19"/>
      <c r="Q54" s="26"/>
      <c r="R54" s="26"/>
      <c r="S54" s="19"/>
      <c r="T54" s="3"/>
      <c r="W54" s="8">
        <f t="shared" si="11"/>
        <v>0</v>
      </c>
      <c r="X54" s="8"/>
      <c r="Y54" s="8">
        <f t="shared" si="2"/>
        <v>0</v>
      </c>
      <c r="Z54" s="19"/>
    </row>
    <row r="55" spans="2:26" x14ac:dyDescent="0.25">
      <c r="C55" t="s">
        <v>8</v>
      </c>
      <c r="E55" t="s">
        <v>49</v>
      </c>
      <c r="F55" s="3">
        <v>20</v>
      </c>
      <c r="G55" s="3">
        <v>22</v>
      </c>
      <c r="H55" s="3" t="s">
        <v>15</v>
      </c>
      <c r="I55" s="18"/>
      <c r="J55" s="18"/>
      <c r="K55" s="3"/>
      <c r="L55" s="18"/>
      <c r="M55" s="18"/>
      <c r="N55" s="19"/>
      <c r="O55" s="19"/>
      <c r="P55" s="19"/>
      <c r="Q55" s="26"/>
      <c r="R55" s="26"/>
      <c r="S55" s="19"/>
      <c r="T55" s="3"/>
      <c r="U55" s="13">
        <v>31</v>
      </c>
      <c r="V55" s="13" t="s">
        <v>15</v>
      </c>
      <c r="W55" s="12">
        <f t="shared" si="11"/>
        <v>620</v>
      </c>
      <c r="X55" s="12">
        <f t="shared" si="3"/>
        <v>682</v>
      </c>
      <c r="Y55" s="12">
        <f t="shared" si="2"/>
        <v>0</v>
      </c>
      <c r="Z55" s="19"/>
    </row>
    <row r="56" spans="2:26" x14ac:dyDescent="0.25">
      <c r="C56" t="s">
        <v>9</v>
      </c>
      <c r="E56" t="s">
        <v>49</v>
      </c>
      <c r="F56" s="3">
        <v>20</v>
      </c>
      <c r="G56" s="3">
        <v>200</v>
      </c>
      <c r="H56" s="3" t="s">
        <v>15</v>
      </c>
      <c r="I56" s="18"/>
      <c r="J56" s="18"/>
      <c r="K56" s="3"/>
      <c r="L56" s="18"/>
      <c r="M56" s="18"/>
      <c r="N56" s="19"/>
      <c r="O56" s="19"/>
      <c r="P56" s="19"/>
      <c r="Q56" s="26"/>
      <c r="R56" s="26"/>
      <c r="S56" s="19"/>
      <c r="T56" s="3"/>
      <c r="U56" s="13">
        <v>31</v>
      </c>
      <c r="V56" s="13" t="s">
        <v>15</v>
      </c>
      <c r="W56" s="12">
        <f>U56*F56</f>
        <v>620</v>
      </c>
      <c r="X56" s="12">
        <f>U56*G56</f>
        <v>6200</v>
      </c>
      <c r="Y56" s="12">
        <f>U56*I56</f>
        <v>0</v>
      </c>
      <c r="Z56" s="19"/>
    </row>
    <row r="57" spans="2:26" x14ac:dyDescent="0.25">
      <c r="C57" t="s">
        <v>53</v>
      </c>
      <c r="D57" t="s">
        <v>50</v>
      </c>
      <c r="F57" s="11"/>
      <c r="G57" s="11"/>
      <c r="H57" s="11" t="s">
        <v>15</v>
      </c>
      <c r="I57" s="18"/>
      <c r="J57" s="18"/>
      <c r="K57" s="3"/>
      <c r="L57" s="13"/>
      <c r="M57" s="13"/>
      <c r="N57" s="12"/>
      <c r="O57" s="12"/>
      <c r="P57" s="12"/>
      <c r="Q57" s="26"/>
      <c r="R57" s="26"/>
      <c r="S57" s="19"/>
      <c r="T57" s="3"/>
      <c r="U57" s="18"/>
      <c r="V57" s="18"/>
      <c r="W57" s="19"/>
      <c r="X57" s="19"/>
      <c r="Y57" s="19"/>
      <c r="Z57" s="19"/>
    </row>
    <row r="58" spans="2:26" x14ac:dyDescent="0.25">
      <c r="C58" t="s">
        <v>84</v>
      </c>
      <c r="D58" t="s">
        <v>50</v>
      </c>
      <c r="F58" s="3"/>
      <c r="H58" s="3"/>
      <c r="I58" s="18"/>
      <c r="J58" s="18"/>
      <c r="K58" s="3"/>
      <c r="L58" s="18"/>
      <c r="M58" s="18"/>
      <c r="N58" s="19"/>
      <c r="O58" s="19"/>
      <c r="P58" s="19"/>
      <c r="Q58" s="26">
        <v>123.62</v>
      </c>
      <c r="R58" s="26">
        <v>380</v>
      </c>
      <c r="S58" s="19"/>
      <c r="T58" s="3"/>
      <c r="W58" s="8"/>
      <c r="X58" s="8"/>
      <c r="Y58" s="8"/>
      <c r="Z58" s="19"/>
    </row>
    <row r="59" spans="2:26" x14ac:dyDescent="0.25">
      <c r="C59" t="s">
        <v>91</v>
      </c>
      <c r="D59" t="s">
        <v>50</v>
      </c>
      <c r="F59" s="3">
        <v>30</v>
      </c>
      <c r="H59" s="3" t="s">
        <v>15</v>
      </c>
      <c r="I59" s="23">
        <v>191.62</v>
      </c>
      <c r="J59" s="2" t="s">
        <v>15</v>
      </c>
      <c r="K59" s="3"/>
      <c r="L59" s="13">
        <v>30.45</v>
      </c>
      <c r="M59" s="13" t="s">
        <v>15</v>
      </c>
      <c r="N59" s="12">
        <f>L59*F59</f>
        <v>913.5</v>
      </c>
      <c r="O59" s="12"/>
      <c r="P59" s="23">
        <f>L59*I59</f>
        <v>5834.8289999999997</v>
      </c>
      <c r="Q59" s="26">
        <v>383.99</v>
      </c>
      <c r="R59" s="28"/>
      <c r="S59" s="19"/>
      <c r="T59" s="3"/>
      <c r="U59" s="18"/>
      <c r="V59" s="18"/>
      <c r="W59" s="19"/>
      <c r="X59" s="19"/>
      <c r="Y59" s="19"/>
      <c r="Z59" s="19"/>
    </row>
    <row r="60" spans="2:26" x14ac:dyDescent="0.25">
      <c r="C60" t="s">
        <v>88</v>
      </c>
      <c r="D60" t="s">
        <v>50</v>
      </c>
      <c r="F60" s="3">
        <v>15</v>
      </c>
      <c r="G60" s="3">
        <v>100</v>
      </c>
      <c r="H60" s="3" t="s">
        <v>15</v>
      </c>
      <c r="I60" s="18"/>
      <c r="J60" s="18"/>
      <c r="K60" s="3"/>
      <c r="L60" s="13">
        <v>31</v>
      </c>
      <c r="M60" s="13" t="s">
        <v>15</v>
      </c>
      <c r="N60" s="12">
        <f>L60*F60</f>
        <v>465</v>
      </c>
      <c r="O60" s="12">
        <f>L60*G60</f>
        <v>3100</v>
      </c>
      <c r="P60" s="12">
        <f>L60*I60</f>
        <v>0</v>
      </c>
      <c r="Q60" s="26">
        <v>556.66</v>
      </c>
      <c r="R60" s="28"/>
      <c r="S60" s="19"/>
      <c r="T60" s="3"/>
      <c r="U60" s="18"/>
      <c r="V60" s="18"/>
      <c r="W60" s="19"/>
      <c r="X60" s="19"/>
      <c r="Y60" s="19"/>
      <c r="Z60" s="19"/>
    </row>
    <row r="61" spans="2:26" x14ac:dyDescent="0.25">
      <c r="C61" t="s">
        <v>90</v>
      </c>
      <c r="D61" t="s">
        <v>50</v>
      </c>
      <c r="F61" s="3"/>
      <c r="H61" s="3"/>
      <c r="I61" s="3"/>
      <c r="J61" s="3"/>
      <c r="K61" s="3"/>
      <c r="L61" s="3"/>
      <c r="M61" s="3"/>
      <c r="N61" s="3"/>
      <c r="O61" s="3"/>
      <c r="P61" s="3"/>
      <c r="Q61" s="26">
        <v>155.61000000000001</v>
      </c>
      <c r="R61" s="28"/>
      <c r="S61" s="19"/>
      <c r="T61" s="3"/>
      <c r="U61" s="18"/>
      <c r="V61" s="18"/>
      <c r="W61" s="19"/>
      <c r="X61" s="19"/>
      <c r="Y61" s="19"/>
      <c r="Z61" s="19"/>
    </row>
    <row r="62" spans="2:26" x14ac:dyDescent="0.25">
      <c r="C62" t="s">
        <v>89</v>
      </c>
      <c r="D62" t="s">
        <v>50</v>
      </c>
      <c r="F62" s="3"/>
      <c r="G62" s="3"/>
      <c r="H62" s="3"/>
      <c r="I62" s="3"/>
      <c r="J62" s="3"/>
      <c r="K62" s="3"/>
      <c r="L62" s="3"/>
      <c r="M62" s="3"/>
      <c r="N62" s="3"/>
      <c r="O62" s="3"/>
      <c r="P62" s="3"/>
      <c r="Q62" s="26">
        <v>886.58</v>
      </c>
      <c r="R62" s="28"/>
      <c r="S62" s="19"/>
      <c r="T62" s="3"/>
      <c r="U62" s="18"/>
      <c r="V62" s="18"/>
      <c r="W62" s="19"/>
      <c r="X62" s="19"/>
      <c r="Y62" s="19"/>
      <c r="Z62" s="19"/>
    </row>
    <row r="63" spans="2:26" x14ac:dyDescent="0.25">
      <c r="C63" t="s">
        <v>104</v>
      </c>
      <c r="D63" t="s">
        <v>50</v>
      </c>
      <c r="F63" s="11"/>
      <c r="G63" s="11"/>
      <c r="H63" s="11" t="s">
        <v>15</v>
      </c>
      <c r="I63" s="18"/>
      <c r="J63" s="18"/>
      <c r="K63" s="3"/>
      <c r="L63" s="13">
        <v>14</v>
      </c>
      <c r="M63" s="13" t="s">
        <v>16</v>
      </c>
      <c r="N63" s="12"/>
      <c r="O63" s="12"/>
      <c r="P63" s="12"/>
      <c r="Q63" s="26">
        <v>208.94</v>
      </c>
      <c r="R63" s="28"/>
      <c r="S63" s="19"/>
      <c r="T63" s="3"/>
      <c r="U63" s="18"/>
      <c r="V63" s="18"/>
      <c r="W63" s="19"/>
      <c r="X63" s="19"/>
      <c r="Y63" s="19"/>
      <c r="Z63" s="19"/>
    </row>
    <row r="64" spans="2:26" x14ac:dyDescent="0.25">
      <c r="C64" t="s">
        <v>92</v>
      </c>
      <c r="D64" t="s">
        <v>50</v>
      </c>
      <c r="F64"/>
      <c r="G64"/>
      <c r="H64"/>
      <c r="I64"/>
      <c r="J64"/>
      <c r="K64"/>
      <c r="L64"/>
      <c r="M64"/>
      <c r="N64"/>
      <c r="O64"/>
      <c r="P64"/>
      <c r="Q64" s="26">
        <v>99.06</v>
      </c>
      <c r="R64" s="28"/>
      <c r="S64" s="19"/>
      <c r="T64" s="3"/>
      <c r="U64" s="18"/>
      <c r="V64" s="18"/>
      <c r="W64" s="19"/>
      <c r="X64" s="19"/>
      <c r="Y64" s="19"/>
      <c r="Z64" s="19"/>
    </row>
    <row r="65" spans="2:26" x14ac:dyDescent="0.25">
      <c r="I65" s="8"/>
      <c r="N65" s="8"/>
      <c r="O65" s="8"/>
      <c r="P65" s="8"/>
      <c r="Q65" s="26"/>
      <c r="R65" s="26"/>
      <c r="S65" s="8"/>
      <c r="W65" s="8"/>
      <c r="X65" s="8"/>
      <c r="Y65" s="8"/>
      <c r="Z65" s="8"/>
    </row>
    <row r="66" spans="2:26" x14ac:dyDescent="0.25">
      <c r="B66" t="s">
        <v>57</v>
      </c>
      <c r="D66" t="s">
        <v>50</v>
      </c>
      <c r="E66" t="s">
        <v>49</v>
      </c>
      <c r="I66" s="8"/>
      <c r="L66" s="13"/>
      <c r="M66" s="13"/>
      <c r="N66" s="12"/>
      <c r="O66" s="12"/>
      <c r="P66" s="12"/>
      <c r="Q66" s="26"/>
      <c r="R66" s="26"/>
      <c r="S66" s="19"/>
      <c r="U66" s="13"/>
      <c r="V66" s="13"/>
      <c r="W66" s="12"/>
      <c r="X66" s="12"/>
      <c r="Y66" s="12"/>
      <c r="Z66" s="19"/>
    </row>
    <row r="67" spans="2:26" x14ac:dyDescent="0.25">
      <c r="I67" s="8"/>
      <c r="N67" s="8"/>
      <c r="O67" s="8"/>
      <c r="P67" s="8"/>
      <c r="Q67" s="26"/>
      <c r="R67" s="26"/>
      <c r="S67" s="8"/>
      <c r="W67" s="8"/>
      <c r="X67" s="8"/>
      <c r="Y67" s="8"/>
      <c r="Z67" s="8"/>
    </row>
    <row r="68" spans="2:26" x14ac:dyDescent="0.25">
      <c r="B68" t="s">
        <v>10</v>
      </c>
      <c r="C68" t="s">
        <v>40</v>
      </c>
      <c r="E68" t="s">
        <v>49</v>
      </c>
      <c r="I68" s="8">
        <v>66.459999999999994</v>
      </c>
      <c r="J68" s="2" t="s">
        <v>16</v>
      </c>
      <c r="L68" s="13">
        <v>10</v>
      </c>
      <c r="M68" s="13"/>
      <c r="N68" s="12"/>
      <c r="O68" s="12"/>
      <c r="P68" s="12">
        <f>L68*I68</f>
        <v>664.59999999999991</v>
      </c>
      <c r="Q68" s="26"/>
      <c r="R68" s="26"/>
      <c r="S68" s="19"/>
      <c r="U68" s="2">
        <v>10</v>
      </c>
      <c r="V68" s="2" t="s">
        <v>16</v>
      </c>
      <c r="W68" s="8">
        <f>U68*F68</f>
        <v>0</v>
      </c>
      <c r="X68" s="8">
        <f t="shared" si="3"/>
        <v>0</v>
      </c>
      <c r="Y68" s="8">
        <f t="shared" si="2"/>
        <v>664.59999999999991</v>
      </c>
      <c r="Z68" s="19"/>
    </row>
    <row r="69" spans="2:26" x14ac:dyDescent="0.25">
      <c r="I69" s="8"/>
      <c r="N69" s="8"/>
      <c r="O69" s="8"/>
      <c r="P69" s="8"/>
      <c r="Q69" s="26"/>
      <c r="R69" s="26"/>
      <c r="S69" s="8"/>
      <c r="W69" s="8"/>
      <c r="X69" s="8"/>
      <c r="Y69" s="8"/>
      <c r="Z69" s="8"/>
    </row>
    <row r="70" spans="2:26" ht="17.25" x14ac:dyDescent="0.25">
      <c r="B70" t="s">
        <v>25</v>
      </c>
      <c r="C70" t="s">
        <v>26</v>
      </c>
      <c r="E70" t="s">
        <v>49</v>
      </c>
      <c r="I70" s="8">
        <v>123.99</v>
      </c>
      <c r="J70" s="2" t="s">
        <v>27</v>
      </c>
      <c r="L70" s="13">
        <v>2.5</v>
      </c>
      <c r="M70" s="13"/>
      <c r="N70" s="12"/>
      <c r="O70" s="12"/>
      <c r="P70" s="12">
        <f>I70*L70</f>
        <v>309.97499999999997</v>
      </c>
      <c r="Q70" s="26"/>
      <c r="R70" s="26"/>
      <c r="S70" s="19"/>
      <c r="U70" s="2">
        <v>9</v>
      </c>
      <c r="V70" s="2" t="s">
        <v>27</v>
      </c>
      <c r="W70" s="8">
        <f>U70*F70</f>
        <v>0</v>
      </c>
      <c r="X70" s="8">
        <f t="shared" si="3"/>
        <v>0</v>
      </c>
      <c r="Y70" s="8">
        <f t="shared" si="2"/>
        <v>1115.9099999999999</v>
      </c>
      <c r="Z70" s="19"/>
    </row>
    <row r="71" spans="2:26" x14ac:dyDescent="0.25">
      <c r="I71" s="8"/>
      <c r="N71" s="8"/>
      <c r="O71" s="8"/>
      <c r="P71" s="8"/>
      <c r="Q71" s="26"/>
      <c r="R71" s="26"/>
      <c r="S71" s="8"/>
      <c r="W71" s="8"/>
      <c r="X71" s="8"/>
      <c r="Y71" s="9"/>
      <c r="Z71" s="8"/>
    </row>
    <row r="72" spans="2:26" x14ac:dyDescent="0.25">
      <c r="B72" t="s">
        <v>58</v>
      </c>
      <c r="C72" t="s">
        <v>59</v>
      </c>
      <c r="D72" t="s">
        <v>50</v>
      </c>
      <c r="E72" t="s">
        <v>49</v>
      </c>
      <c r="I72" s="8"/>
      <c r="N72" s="8"/>
      <c r="O72" s="8"/>
      <c r="P72" s="8"/>
      <c r="Q72" s="26"/>
      <c r="R72" s="26"/>
      <c r="S72" s="8"/>
      <c r="W72" s="8"/>
      <c r="X72" s="8"/>
      <c r="Y72" s="9"/>
      <c r="Z72" s="8"/>
    </row>
    <row r="73" spans="2:26" x14ac:dyDescent="0.25">
      <c r="I73" s="8"/>
      <c r="N73" s="8"/>
      <c r="O73" s="8"/>
      <c r="P73" s="8"/>
      <c r="Q73" s="26"/>
      <c r="R73" s="26"/>
      <c r="S73" s="8"/>
      <c r="W73" s="8"/>
      <c r="X73" s="8"/>
      <c r="Y73" s="9"/>
      <c r="Z73" s="8"/>
    </row>
    <row r="74" spans="2:26" x14ac:dyDescent="0.25">
      <c r="B74" t="s">
        <v>61</v>
      </c>
      <c r="C74" t="s">
        <v>62</v>
      </c>
      <c r="D74" t="s">
        <v>50</v>
      </c>
      <c r="E74" t="s">
        <v>49</v>
      </c>
      <c r="I74" s="8"/>
      <c r="N74" s="8"/>
      <c r="O74" s="8"/>
      <c r="P74" s="8"/>
      <c r="Q74" s="26">
        <v>322.70999999999998</v>
      </c>
      <c r="R74" s="26">
        <v>1250</v>
      </c>
      <c r="S74" s="8"/>
      <c r="W74" s="8"/>
      <c r="X74" s="8"/>
      <c r="Y74" s="9"/>
      <c r="Z74" s="8"/>
    </row>
    <row r="75" spans="2:26" x14ac:dyDescent="0.25">
      <c r="C75" t="s">
        <v>63</v>
      </c>
      <c r="D75" t="s">
        <v>50</v>
      </c>
      <c r="E75" t="s">
        <v>49</v>
      </c>
      <c r="I75" s="8"/>
      <c r="N75" s="8"/>
      <c r="O75" s="8"/>
      <c r="P75" s="8"/>
      <c r="Q75" s="28"/>
      <c r="R75" s="28"/>
      <c r="S75" s="8"/>
      <c r="W75" s="8"/>
      <c r="X75" s="8"/>
      <c r="Y75" s="9"/>
      <c r="Z75" s="8"/>
    </row>
    <row r="76" spans="2:26" x14ac:dyDescent="0.25">
      <c r="N76" s="8"/>
      <c r="O76" s="8"/>
      <c r="P76" s="8"/>
      <c r="Q76" s="26"/>
      <c r="R76" s="26"/>
      <c r="S76" s="8"/>
      <c r="W76" s="8"/>
      <c r="X76" s="8"/>
      <c r="Y76" s="9"/>
      <c r="Z76" s="8"/>
    </row>
    <row r="77" spans="2:26" x14ac:dyDescent="0.25">
      <c r="B77" t="s">
        <v>67</v>
      </c>
      <c r="D77" t="s">
        <v>50</v>
      </c>
      <c r="E77" t="s">
        <v>49</v>
      </c>
      <c r="N77" s="8"/>
      <c r="O77" s="8"/>
      <c r="P77" s="8"/>
      <c r="Q77" s="26"/>
      <c r="R77" s="26"/>
      <c r="S77" s="8"/>
      <c r="W77" s="8"/>
      <c r="X77" s="8"/>
      <c r="Y77" s="9"/>
      <c r="Z77" s="8"/>
    </row>
    <row r="78" spans="2:26" x14ac:dyDescent="0.25">
      <c r="N78" s="8"/>
      <c r="O78" s="8"/>
      <c r="P78" s="8"/>
      <c r="Q78" s="26"/>
      <c r="R78" s="26"/>
      <c r="S78" s="8"/>
      <c r="W78" s="8"/>
      <c r="X78" s="8"/>
      <c r="Y78" s="9"/>
      <c r="Z78" s="8"/>
    </row>
    <row r="79" spans="2:26" x14ac:dyDescent="0.25">
      <c r="B79" t="s">
        <v>78</v>
      </c>
      <c r="C79" t="s">
        <v>94</v>
      </c>
      <c r="D79" t="s">
        <v>50</v>
      </c>
      <c r="N79" s="8"/>
      <c r="O79" s="8"/>
      <c r="P79" s="8"/>
      <c r="Q79" s="28"/>
      <c r="R79" s="28"/>
      <c r="S79" s="8"/>
      <c r="W79" s="8"/>
      <c r="X79" s="8"/>
      <c r="Y79" s="9"/>
      <c r="Z79" s="8"/>
    </row>
    <row r="80" spans="2:26" x14ac:dyDescent="0.25">
      <c r="C80" t="s">
        <v>93</v>
      </c>
      <c r="D80" t="s">
        <v>50</v>
      </c>
      <c r="N80" s="8"/>
      <c r="O80" s="8"/>
      <c r="P80" s="8"/>
      <c r="Q80" s="26">
        <v>107.56</v>
      </c>
      <c r="R80" s="28"/>
      <c r="S80" s="8"/>
      <c r="W80" s="8"/>
      <c r="X80" s="8"/>
      <c r="Y80" s="9"/>
      <c r="Z80" s="8"/>
    </row>
    <row r="81" spans="2:26" x14ac:dyDescent="0.25">
      <c r="C81" t="s">
        <v>95</v>
      </c>
      <c r="D81" t="s">
        <v>50</v>
      </c>
      <c r="N81" s="8"/>
      <c r="O81" s="8"/>
      <c r="P81" s="8"/>
      <c r="Q81" s="28"/>
      <c r="R81" s="28"/>
      <c r="S81" s="8"/>
      <c r="W81" s="8"/>
      <c r="X81" s="8"/>
      <c r="Y81" s="9"/>
      <c r="Z81" s="8"/>
    </row>
    <row r="82" spans="2:26" x14ac:dyDescent="0.25">
      <c r="C82" t="s">
        <v>96</v>
      </c>
      <c r="D82" t="s">
        <v>50</v>
      </c>
      <c r="N82" s="8"/>
      <c r="O82" s="8"/>
      <c r="P82" s="8"/>
      <c r="Q82" s="28"/>
      <c r="R82" s="28"/>
      <c r="S82" s="8"/>
      <c r="W82" s="8"/>
      <c r="X82" s="8"/>
      <c r="Y82" s="9"/>
      <c r="Z82" s="8"/>
    </row>
    <row r="83" spans="2:26" x14ac:dyDescent="0.25">
      <c r="N83" s="8"/>
      <c r="O83" s="8"/>
      <c r="P83" s="8"/>
      <c r="Q83" s="26"/>
      <c r="R83" s="26"/>
      <c r="S83" s="8"/>
      <c r="W83" s="8"/>
      <c r="X83" s="8"/>
      <c r="Y83" s="9"/>
      <c r="Z83" s="8"/>
    </row>
    <row r="84" spans="2:26" x14ac:dyDescent="0.25">
      <c r="B84" t="s">
        <v>82</v>
      </c>
      <c r="C84" t="s">
        <v>102</v>
      </c>
      <c r="D84" t="s">
        <v>50</v>
      </c>
      <c r="E84" t="s">
        <v>49</v>
      </c>
      <c r="N84" s="8"/>
      <c r="O84" s="8"/>
      <c r="P84" s="8"/>
      <c r="Q84" s="27">
        <v>99.5</v>
      </c>
      <c r="R84" s="28"/>
      <c r="S84" s="8"/>
      <c r="W84" s="8"/>
      <c r="X84" s="8"/>
      <c r="Y84" s="9"/>
      <c r="Z84" s="8"/>
    </row>
    <row r="85" spans="2:26" x14ac:dyDescent="0.25">
      <c r="N85" s="8"/>
      <c r="O85" s="8"/>
      <c r="P85" s="8"/>
      <c r="Q85" s="26"/>
      <c r="R85" s="26"/>
      <c r="S85" s="8"/>
      <c r="W85" s="8"/>
      <c r="X85" s="8"/>
      <c r="Y85" s="9"/>
      <c r="Z85" s="8"/>
    </row>
    <row r="86" spans="2:26" x14ac:dyDescent="0.25">
      <c r="B86" s="1" t="s">
        <v>32</v>
      </c>
      <c r="N86" s="10">
        <f>SUM(N6:N70)</f>
        <v>7522.5</v>
      </c>
      <c r="O86" s="8"/>
      <c r="P86" s="10">
        <f>SUM(P6:P70)</f>
        <v>18421.944599999995</v>
      </c>
      <c r="Q86" s="10">
        <f>SUM(Q6:Q84)</f>
        <v>16006.369999999999</v>
      </c>
      <c r="R86" s="10">
        <f>SUM(R6:R84)</f>
        <v>13592.28</v>
      </c>
      <c r="S86" s="10">
        <f>SUM(S6:S70)</f>
        <v>957.14</v>
      </c>
      <c r="W86" s="10">
        <f>SUM(W6:W70)</f>
        <v>10157</v>
      </c>
      <c r="X86" s="8"/>
      <c r="Y86" s="10">
        <f>SUM(Y6:Y70)</f>
        <v>11599.608100000001</v>
      </c>
      <c r="Z86" s="10">
        <f>SUM(Z6:Z70)</f>
        <v>638.09333333333336</v>
      </c>
    </row>
    <row r="87" spans="2:26" x14ac:dyDescent="0.25">
      <c r="Q87" s="3"/>
      <c r="R87" s="3"/>
    </row>
    <row r="88" spans="2:26" x14ac:dyDescent="0.25">
      <c r="Q88" s="3"/>
      <c r="R88" s="3"/>
    </row>
    <row r="89" spans="2:26" x14ac:dyDescent="0.25">
      <c r="B89" t="s">
        <v>64</v>
      </c>
      <c r="C89" t="s">
        <v>65</v>
      </c>
      <c r="Q89" s="3"/>
      <c r="R89" s="3"/>
    </row>
    <row r="90" spans="2:26" x14ac:dyDescent="0.25">
      <c r="C90" t="s">
        <v>66</v>
      </c>
      <c r="D90" t="s">
        <v>69</v>
      </c>
      <c r="Q90" s="3"/>
      <c r="R90" s="3"/>
    </row>
    <row r="91" spans="2:26" x14ac:dyDescent="0.25">
      <c r="C91" t="s">
        <v>75</v>
      </c>
      <c r="Q91" s="3"/>
      <c r="R91" s="3"/>
    </row>
    <row r="92" spans="2:26" x14ac:dyDescent="0.25">
      <c r="C92" t="s">
        <v>76</v>
      </c>
      <c r="D92" t="s">
        <v>68</v>
      </c>
      <c r="Q92" s="3"/>
      <c r="R92" s="3"/>
    </row>
    <row r="93" spans="2:26" x14ac:dyDescent="0.25">
      <c r="C93" t="s">
        <v>103</v>
      </c>
      <c r="Q93" s="3"/>
      <c r="R93" s="3"/>
    </row>
    <row r="94" spans="2:26" x14ac:dyDescent="0.25">
      <c r="Q94" s="3"/>
      <c r="R94" s="3"/>
    </row>
    <row r="95" spans="2:26" x14ac:dyDescent="0.25">
      <c r="Q95" s="3"/>
      <c r="R95" s="3"/>
    </row>
    <row r="96" spans="2:26" x14ac:dyDescent="0.25">
      <c r="Q96" s="3"/>
      <c r="R96" s="3"/>
    </row>
    <row r="97" spans="17:18" x14ac:dyDescent="0.25">
      <c r="Q97" s="3"/>
      <c r="R97" s="3"/>
    </row>
    <row r="98" spans="17:18" x14ac:dyDescent="0.25">
      <c r="Q98" s="3"/>
      <c r="R98" s="3"/>
    </row>
    <row r="99" spans="17:18" x14ac:dyDescent="0.25">
      <c r="Q99" s="3"/>
      <c r="R99" s="3"/>
    </row>
    <row r="100" spans="17:18" x14ac:dyDescent="0.25">
      <c r="Q100" s="3"/>
      <c r="R100" s="3"/>
    </row>
    <row r="101" spans="17:18" x14ac:dyDescent="0.25">
      <c r="Q101" s="3"/>
      <c r="R101" s="3"/>
    </row>
    <row r="102" spans="17:18" x14ac:dyDescent="0.25">
      <c r="Q102" s="3"/>
      <c r="R102" s="3"/>
    </row>
    <row r="103" spans="17:18" x14ac:dyDescent="0.25">
      <c r="Q103" s="3"/>
      <c r="R103" s="3"/>
    </row>
    <row r="104" spans="17:18" x14ac:dyDescent="0.25">
      <c r="Q104" s="3"/>
      <c r="R104" s="3"/>
    </row>
    <row r="105" spans="17:18" x14ac:dyDescent="0.25">
      <c r="Q105" s="3"/>
      <c r="R105" s="3"/>
    </row>
    <row r="106" spans="17:18" x14ac:dyDescent="0.25">
      <c r="Q106" s="3"/>
      <c r="R106" s="3"/>
    </row>
    <row r="107" spans="17:18" x14ac:dyDescent="0.25">
      <c r="Q107" s="3"/>
      <c r="R107" s="3"/>
    </row>
    <row r="108" spans="17:18" x14ac:dyDescent="0.25">
      <c r="Q108" s="3"/>
      <c r="R108" s="3"/>
    </row>
    <row r="109" spans="17:18" x14ac:dyDescent="0.25">
      <c r="Q109" s="3"/>
      <c r="R109" s="3"/>
    </row>
    <row r="110" spans="17:18" x14ac:dyDescent="0.25">
      <c r="Q110" s="3"/>
      <c r="R110" s="3"/>
    </row>
    <row r="111" spans="17:18" x14ac:dyDescent="0.25">
      <c r="Q111" s="3"/>
      <c r="R111" s="3"/>
    </row>
    <row r="112" spans="17:18" x14ac:dyDescent="0.25">
      <c r="Q112" s="3"/>
      <c r="R112" s="3"/>
    </row>
    <row r="113" spans="17:18" x14ac:dyDescent="0.25">
      <c r="Q113" s="3"/>
      <c r="R113" s="3"/>
    </row>
    <row r="114" spans="17:18" x14ac:dyDescent="0.25">
      <c r="Q114" s="3"/>
      <c r="R114" s="3"/>
    </row>
    <row r="115" spans="17:18" x14ac:dyDescent="0.25">
      <c r="Q115" s="3"/>
      <c r="R115" s="3"/>
    </row>
    <row r="116" spans="17:18" x14ac:dyDescent="0.25">
      <c r="Q116" s="3"/>
      <c r="R116" s="3"/>
    </row>
    <row r="117" spans="17:18" x14ac:dyDescent="0.25">
      <c r="Q117" s="3"/>
      <c r="R117" s="3"/>
    </row>
    <row r="118" spans="17:18" x14ac:dyDescent="0.25">
      <c r="Q118" s="3"/>
      <c r="R118" s="3"/>
    </row>
    <row r="119" spans="17:18" x14ac:dyDescent="0.25">
      <c r="Q119" s="3"/>
      <c r="R119" s="3"/>
    </row>
    <row r="120" spans="17:18" x14ac:dyDescent="0.25">
      <c r="Q120" s="3"/>
      <c r="R120" s="3"/>
    </row>
    <row r="121" spans="17:18" x14ac:dyDescent="0.25">
      <c r="Q121" s="3"/>
      <c r="R121" s="3"/>
    </row>
    <row r="122" spans="17:18" x14ac:dyDescent="0.25">
      <c r="Q122" s="3"/>
      <c r="R122" s="3"/>
    </row>
    <row r="123" spans="17:18" x14ac:dyDescent="0.25">
      <c r="Q123" s="3"/>
      <c r="R123" s="3"/>
    </row>
    <row r="124" spans="17:18" x14ac:dyDescent="0.25">
      <c r="Q124" s="3"/>
      <c r="R124" s="3"/>
    </row>
    <row r="125" spans="17:18" x14ac:dyDescent="0.25">
      <c r="Q125" s="3"/>
      <c r="R125" s="3"/>
    </row>
    <row r="126" spans="17:18" x14ac:dyDescent="0.25">
      <c r="Q126" s="3"/>
      <c r="R126" s="3"/>
    </row>
    <row r="127" spans="17:18" x14ac:dyDescent="0.25">
      <c r="Q127" s="3"/>
      <c r="R127" s="3"/>
    </row>
    <row r="128" spans="17:18" x14ac:dyDescent="0.25">
      <c r="Q128" s="3"/>
      <c r="R128" s="3"/>
    </row>
    <row r="129" spans="17:18" x14ac:dyDescent="0.25">
      <c r="Q129" s="3"/>
      <c r="R129" s="3"/>
    </row>
    <row r="130" spans="17:18" x14ac:dyDescent="0.25">
      <c r="Q130" s="3"/>
      <c r="R130" s="3"/>
    </row>
    <row r="131" spans="17:18" x14ac:dyDescent="0.25">
      <c r="Q131" s="3"/>
      <c r="R131" s="3"/>
    </row>
    <row r="132" spans="17:18" x14ac:dyDescent="0.25">
      <c r="Q132" s="3"/>
      <c r="R132" s="3"/>
    </row>
    <row r="133" spans="17:18" x14ac:dyDescent="0.25">
      <c r="Q133" s="3"/>
      <c r="R133" s="3"/>
    </row>
    <row r="134" spans="17:18" x14ac:dyDescent="0.25">
      <c r="Q134" s="3"/>
      <c r="R134" s="3"/>
    </row>
    <row r="135" spans="17:18" x14ac:dyDescent="0.25">
      <c r="Q135" s="3"/>
      <c r="R135" s="3"/>
    </row>
    <row r="136" spans="17:18" x14ac:dyDescent="0.25">
      <c r="Q136" s="3"/>
      <c r="R136" s="3"/>
    </row>
    <row r="137" spans="17:18" x14ac:dyDescent="0.25">
      <c r="Q137" s="3"/>
      <c r="R137" s="3"/>
    </row>
    <row r="138" spans="17:18" x14ac:dyDescent="0.25">
      <c r="Q138" s="3"/>
      <c r="R138" s="3"/>
    </row>
    <row r="139" spans="17:18" x14ac:dyDescent="0.25">
      <c r="Q139" s="3"/>
      <c r="R139" s="3"/>
    </row>
    <row r="140" spans="17:18" x14ac:dyDescent="0.25">
      <c r="Q140" s="3"/>
      <c r="R140" s="3"/>
    </row>
    <row r="141" spans="17:18" x14ac:dyDescent="0.25">
      <c r="Q141" s="3"/>
      <c r="R141" s="3"/>
    </row>
    <row r="142" spans="17:18" x14ac:dyDescent="0.25">
      <c r="Q142" s="3"/>
      <c r="R142" s="3"/>
    </row>
    <row r="143" spans="17:18" x14ac:dyDescent="0.25">
      <c r="Q143" s="3"/>
      <c r="R143" s="3"/>
    </row>
    <row r="144" spans="17:18" x14ac:dyDescent="0.25">
      <c r="Q144" s="3"/>
      <c r="R144" s="3"/>
    </row>
    <row r="145" spans="17:18" x14ac:dyDescent="0.25">
      <c r="Q145" s="3"/>
      <c r="R145" s="3"/>
    </row>
    <row r="146" spans="17:18" x14ac:dyDescent="0.25">
      <c r="Q146" s="3"/>
      <c r="R146" s="3"/>
    </row>
    <row r="147" spans="17:18" x14ac:dyDescent="0.25">
      <c r="Q147" s="3"/>
      <c r="R147" s="3"/>
    </row>
    <row r="148" spans="17:18" x14ac:dyDescent="0.25">
      <c r="Q148" s="3"/>
      <c r="R148" s="3"/>
    </row>
    <row r="149" spans="17:18" x14ac:dyDescent="0.25">
      <c r="Q149" s="3"/>
      <c r="R149" s="3"/>
    </row>
    <row r="150" spans="17:18" x14ac:dyDescent="0.25">
      <c r="Q150" s="3"/>
      <c r="R150" s="3"/>
    </row>
    <row r="151" spans="17:18" x14ac:dyDescent="0.25">
      <c r="Q151" s="3"/>
      <c r="R151" s="3"/>
    </row>
    <row r="152" spans="17:18" x14ac:dyDescent="0.25">
      <c r="Q152" s="3"/>
      <c r="R152" s="3"/>
    </row>
    <row r="153" spans="17:18" x14ac:dyDescent="0.25">
      <c r="Q153" s="3"/>
      <c r="R153" s="3"/>
    </row>
    <row r="154" spans="17:18" x14ac:dyDescent="0.25">
      <c r="Q154" s="3"/>
      <c r="R154" s="3"/>
    </row>
    <row r="155" spans="17:18" x14ac:dyDescent="0.25">
      <c r="Q155" s="3"/>
      <c r="R155" s="3"/>
    </row>
    <row r="156" spans="17:18" x14ac:dyDescent="0.25">
      <c r="Q156" s="3"/>
      <c r="R156" s="3"/>
    </row>
    <row r="157" spans="17:18" x14ac:dyDescent="0.25">
      <c r="Q157" s="3"/>
      <c r="R157" s="3"/>
    </row>
    <row r="158" spans="17:18" x14ac:dyDescent="0.25">
      <c r="Q158" s="3"/>
      <c r="R158" s="3"/>
    </row>
    <row r="159" spans="17:18" x14ac:dyDescent="0.25">
      <c r="Q159" s="3"/>
      <c r="R159" s="3"/>
    </row>
    <row r="160" spans="17:18" x14ac:dyDescent="0.25">
      <c r="Q160" s="3"/>
      <c r="R160" s="3"/>
    </row>
    <row r="161" spans="17:18" x14ac:dyDescent="0.25">
      <c r="Q161" s="3"/>
      <c r="R161" s="3"/>
    </row>
    <row r="162" spans="17:18" x14ac:dyDescent="0.25">
      <c r="Q162" s="3"/>
      <c r="R162" s="3"/>
    </row>
    <row r="163" spans="17:18" x14ac:dyDescent="0.25">
      <c r="Q163" s="3"/>
      <c r="R163" s="3"/>
    </row>
    <row r="164" spans="17:18" x14ac:dyDescent="0.25">
      <c r="Q164" s="3"/>
      <c r="R164" s="3"/>
    </row>
    <row r="165" spans="17:18" x14ac:dyDescent="0.25">
      <c r="Q165" s="3"/>
      <c r="R165" s="3"/>
    </row>
    <row r="166" spans="17:18" x14ac:dyDescent="0.25">
      <c r="Q166" s="3"/>
      <c r="R166" s="3"/>
    </row>
    <row r="167" spans="17:18" x14ac:dyDescent="0.25">
      <c r="Q167" s="3"/>
      <c r="R167" s="3"/>
    </row>
    <row r="168" spans="17:18" x14ac:dyDescent="0.25">
      <c r="Q168" s="3"/>
      <c r="R168" s="3"/>
    </row>
    <row r="169" spans="17:18" x14ac:dyDescent="0.25">
      <c r="Q169" s="3"/>
      <c r="R169" s="3"/>
    </row>
    <row r="170" spans="17:18" x14ac:dyDescent="0.25">
      <c r="Q170" s="3"/>
      <c r="R170" s="3"/>
    </row>
    <row r="171" spans="17:18" x14ac:dyDescent="0.25">
      <c r="Q171" s="3"/>
      <c r="R171" s="3"/>
    </row>
    <row r="172" spans="17:18" x14ac:dyDescent="0.25">
      <c r="Q172" s="3"/>
      <c r="R172" s="3"/>
    </row>
    <row r="173" spans="17:18" x14ac:dyDescent="0.25">
      <c r="Q173" s="3"/>
      <c r="R173" s="3"/>
    </row>
    <row r="174" spans="17:18" x14ac:dyDescent="0.25">
      <c r="Q174" s="3"/>
      <c r="R174" s="3"/>
    </row>
    <row r="175" spans="17:18" x14ac:dyDescent="0.25">
      <c r="Q175" s="3"/>
      <c r="R175" s="3"/>
    </row>
    <row r="176" spans="17:18" x14ac:dyDescent="0.25">
      <c r="Q176" s="3"/>
      <c r="R176" s="3"/>
    </row>
    <row r="177" spans="17:18" x14ac:dyDescent="0.25">
      <c r="Q177" s="3"/>
      <c r="R177" s="3"/>
    </row>
    <row r="178" spans="17:18" x14ac:dyDescent="0.25">
      <c r="Q178" s="3"/>
      <c r="R178" s="3"/>
    </row>
    <row r="179" spans="17:18" x14ac:dyDescent="0.25">
      <c r="Q179" s="3"/>
      <c r="R179" s="3"/>
    </row>
    <row r="180" spans="17:18" x14ac:dyDescent="0.25">
      <c r="Q180" s="3"/>
      <c r="R180" s="3"/>
    </row>
    <row r="181" spans="17:18" x14ac:dyDescent="0.25">
      <c r="Q181" s="3"/>
      <c r="R181" s="3"/>
    </row>
    <row r="182" spans="17:18" x14ac:dyDescent="0.25">
      <c r="Q182" s="3"/>
      <c r="R182" s="3"/>
    </row>
    <row r="183" spans="17:18" x14ac:dyDescent="0.25">
      <c r="Q183" s="3"/>
      <c r="R183" s="3"/>
    </row>
    <row r="184" spans="17:18" x14ac:dyDescent="0.25">
      <c r="Q184" s="3"/>
      <c r="R184" s="3"/>
    </row>
    <row r="185" spans="17:18" x14ac:dyDescent="0.25">
      <c r="Q185" s="3"/>
      <c r="R185" s="3"/>
    </row>
    <row r="186" spans="17:18" x14ac:dyDescent="0.25">
      <c r="Q186" s="3"/>
      <c r="R186" s="3"/>
    </row>
    <row r="187" spans="17:18" x14ac:dyDescent="0.25">
      <c r="Q187" s="3"/>
      <c r="R187" s="3"/>
    </row>
    <row r="188" spans="17:18" x14ac:dyDescent="0.25">
      <c r="Q188" s="3"/>
      <c r="R188" s="3"/>
    </row>
    <row r="189" spans="17:18" x14ac:dyDescent="0.25">
      <c r="Q189" s="3"/>
      <c r="R189" s="3"/>
    </row>
    <row r="190" spans="17:18" x14ac:dyDescent="0.25">
      <c r="Q190" s="3"/>
      <c r="R190" s="3"/>
    </row>
    <row r="191" spans="17:18" x14ac:dyDescent="0.25">
      <c r="Q191" s="3"/>
      <c r="R191" s="3"/>
    </row>
    <row r="192" spans="17:18" x14ac:dyDescent="0.25">
      <c r="Q192" s="3"/>
      <c r="R192" s="3"/>
    </row>
    <row r="193" spans="17:18" x14ac:dyDescent="0.25">
      <c r="Q193" s="3"/>
      <c r="R193" s="3"/>
    </row>
    <row r="194" spans="17:18" x14ac:dyDescent="0.25">
      <c r="Q194" s="3"/>
      <c r="R194" s="3"/>
    </row>
    <row r="195" spans="17:18" x14ac:dyDescent="0.25">
      <c r="Q195" s="3"/>
      <c r="R195" s="3"/>
    </row>
    <row r="196" spans="17:18" x14ac:dyDescent="0.25">
      <c r="Q196" s="3"/>
      <c r="R196" s="3"/>
    </row>
    <row r="197" spans="17:18" x14ac:dyDescent="0.25">
      <c r="Q197" s="3"/>
      <c r="R197" s="3"/>
    </row>
    <row r="198" spans="17:18" x14ac:dyDescent="0.25">
      <c r="Q198" s="3"/>
      <c r="R198" s="3"/>
    </row>
    <row r="199" spans="17:18" x14ac:dyDescent="0.25">
      <c r="Q199" s="3"/>
      <c r="R199" s="3"/>
    </row>
    <row r="200" spans="17:18" x14ac:dyDescent="0.25">
      <c r="Q200" s="3"/>
      <c r="R200" s="3"/>
    </row>
    <row r="201" spans="17:18" x14ac:dyDescent="0.25">
      <c r="Q201" s="3"/>
      <c r="R201" s="3"/>
    </row>
    <row r="202" spans="17:18" x14ac:dyDescent="0.25">
      <c r="Q202" s="3"/>
      <c r="R202" s="3"/>
    </row>
    <row r="203" spans="17:18" x14ac:dyDescent="0.25">
      <c r="Q203" s="3"/>
      <c r="R203" s="3"/>
    </row>
    <row r="204" spans="17:18" x14ac:dyDescent="0.25">
      <c r="Q204" s="3"/>
      <c r="R204" s="3"/>
    </row>
    <row r="205" spans="17:18" x14ac:dyDescent="0.25">
      <c r="Q205" s="3"/>
      <c r="R205" s="3"/>
    </row>
    <row r="206" spans="17:18" x14ac:dyDescent="0.25">
      <c r="Q206" s="3"/>
      <c r="R206" s="3"/>
    </row>
    <row r="207" spans="17:18" x14ac:dyDescent="0.25">
      <c r="Q207" s="3"/>
      <c r="R207" s="3"/>
    </row>
    <row r="208" spans="17:18" x14ac:dyDescent="0.25">
      <c r="Q208" s="3"/>
      <c r="R208" s="3"/>
    </row>
    <row r="209" spans="17:18" x14ac:dyDescent="0.25">
      <c r="Q209" s="3"/>
      <c r="R209" s="3"/>
    </row>
    <row r="210" spans="17:18" x14ac:dyDescent="0.25">
      <c r="Q210" s="3"/>
      <c r="R210" s="3"/>
    </row>
    <row r="211" spans="17:18" x14ac:dyDescent="0.25">
      <c r="Q211" s="3"/>
      <c r="R211" s="3"/>
    </row>
    <row r="212" spans="17:18" x14ac:dyDescent="0.25">
      <c r="Q212" s="3"/>
      <c r="R212" s="3"/>
    </row>
    <row r="213" spans="17:18" x14ac:dyDescent="0.25">
      <c r="Q213" s="3"/>
      <c r="R213" s="3"/>
    </row>
    <row r="214" spans="17:18" x14ac:dyDescent="0.25">
      <c r="Q214" s="3"/>
      <c r="R214" s="3"/>
    </row>
    <row r="215" spans="17:18" x14ac:dyDescent="0.25">
      <c r="Q215" s="3"/>
      <c r="R215" s="3"/>
    </row>
    <row r="216" spans="17:18" x14ac:dyDescent="0.25">
      <c r="Q216" s="3"/>
      <c r="R216" s="3"/>
    </row>
    <row r="217" spans="17:18" x14ac:dyDescent="0.25">
      <c r="Q217" s="3"/>
      <c r="R217" s="3"/>
    </row>
    <row r="218" spans="17:18" x14ac:dyDescent="0.25">
      <c r="Q218" s="3"/>
      <c r="R218" s="3"/>
    </row>
    <row r="219" spans="17:18" x14ac:dyDescent="0.25">
      <c r="Q219" s="3"/>
      <c r="R219" s="3"/>
    </row>
    <row r="220" spans="17:18" x14ac:dyDescent="0.25">
      <c r="Q220" s="3"/>
      <c r="R220" s="3"/>
    </row>
    <row r="221" spans="17:18" x14ac:dyDescent="0.25">
      <c r="Q221" s="3"/>
      <c r="R221" s="3"/>
    </row>
    <row r="222" spans="17:18" x14ac:dyDescent="0.25">
      <c r="Q222" s="3"/>
      <c r="R222" s="3"/>
    </row>
    <row r="223" spans="17:18" x14ac:dyDescent="0.25">
      <c r="Q223" s="3"/>
      <c r="R223" s="3"/>
    </row>
    <row r="224" spans="17:18" x14ac:dyDescent="0.25">
      <c r="Q224" s="3"/>
      <c r="R224" s="3"/>
    </row>
    <row r="225" spans="17:18" x14ac:dyDescent="0.25">
      <c r="Q225" s="3"/>
      <c r="R225" s="3"/>
    </row>
    <row r="226" spans="17:18" x14ac:dyDescent="0.25">
      <c r="Q226" s="3"/>
      <c r="R226" s="3"/>
    </row>
    <row r="227" spans="17:18" x14ac:dyDescent="0.25">
      <c r="Q227" s="3"/>
      <c r="R227" s="3"/>
    </row>
    <row r="228" spans="17:18" x14ac:dyDescent="0.25">
      <c r="Q228" s="3"/>
      <c r="R228" s="3"/>
    </row>
    <row r="229" spans="17:18" x14ac:dyDescent="0.25">
      <c r="Q229" s="3"/>
      <c r="R229" s="3"/>
    </row>
    <row r="230" spans="17:18" x14ac:dyDescent="0.25">
      <c r="Q230" s="3"/>
      <c r="R230" s="3"/>
    </row>
    <row r="231" spans="17:18" x14ac:dyDescent="0.25">
      <c r="Q231" s="3"/>
      <c r="R231" s="3"/>
    </row>
    <row r="232" spans="17:18" x14ac:dyDescent="0.25">
      <c r="Q232" s="3"/>
      <c r="R232" s="3"/>
    </row>
    <row r="233" spans="17:18" x14ac:dyDescent="0.25">
      <c r="Q233" s="3"/>
      <c r="R233" s="3"/>
    </row>
    <row r="234" spans="17:18" x14ac:dyDescent="0.25">
      <c r="Q234" s="3"/>
      <c r="R234" s="3"/>
    </row>
    <row r="235" spans="17:18" x14ac:dyDescent="0.25">
      <c r="Q235" s="3"/>
      <c r="R235" s="3"/>
    </row>
    <row r="236" spans="17:18" x14ac:dyDescent="0.25">
      <c r="Q236" s="3"/>
      <c r="R236" s="3"/>
    </row>
    <row r="237" spans="17:18" x14ac:dyDescent="0.25">
      <c r="Q237" s="3"/>
      <c r="R237" s="3"/>
    </row>
    <row r="238" spans="17:18" x14ac:dyDescent="0.25">
      <c r="Q238" s="3"/>
      <c r="R238" s="3"/>
    </row>
    <row r="239" spans="17:18" x14ac:dyDescent="0.25">
      <c r="Q239" s="3"/>
      <c r="R239" s="3"/>
    </row>
    <row r="240" spans="17:18" x14ac:dyDescent="0.25">
      <c r="Q240" s="3"/>
      <c r="R240" s="3"/>
    </row>
    <row r="241" spans="17:18" x14ac:dyDescent="0.25">
      <c r="Q241" s="3"/>
      <c r="R241" s="3"/>
    </row>
    <row r="242" spans="17:18" x14ac:dyDescent="0.25">
      <c r="Q242" s="3"/>
      <c r="R242" s="3"/>
    </row>
    <row r="243" spans="17:18" x14ac:dyDescent="0.25">
      <c r="Q243" s="3"/>
      <c r="R243" s="3"/>
    </row>
    <row r="244" spans="17:18" x14ac:dyDescent="0.25">
      <c r="Q244" s="3"/>
      <c r="R244" s="3"/>
    </row>
    <row r="245" spans="17:18" x14ac:dyDescent="0.25">
      <c r="Q245" s="3"/>
      <c r="R245" s="3"/>
    </row>
    <row r="246" spans="17:18" x14ac:dyDescent="0.25">
      <c r="Q246" s="3"/>
      <c r="R246" s="3"/>
    </row>
    <row r="247" spans="17:18" x14ac:dyDescent="0.25">
      <c r="Q247" s="3"/>
      <c r="R247" s="3"/>
    </row>
    <row r="248" spans="17:18" x14ac:dyDescent="0.25">
      <c r="Q248" s="3"/>
      <c r="R248" s="3"/>
    </row>
    <row r="249" spans="17:18" x14ac:dyDescent="0.25">
      <c r="Q249" s="3"/>
      <c r="R249" s="3"/>
    </row>
    <row r="250" spans="17:18" x14ac:dyDescent="0.25">
      <c r="Q250" s="3"/>
      <c r="R250" s="3"/>
    </row>
    <row r="251" spans="17:18" x14ac:dyDescent="0.25">
      <c r="Q251" s="3"/>
      <c r="R251" s="3"/>
    </row>
    <row r="252" spans="17:18" x14ac:dyDescent="0.25">
      <c r="Q252" s="3"/>
      <c r="R252" s="3"/>
    </row>
    <row r="253" spans="17:18" x14ac:dyDescent="0.25">
      <c r="Q253" s="3"/>
      <c r="R253" s="3"/>
    </row>
    <row r="254" spans="17:18" x14ac:dyDescent="0.25">
      <c r="Q254" s="3"/>
      <c r="R254" s="3"/>
    </row>
    <row r="255" spans="17:18" x14ac:dyDescent="0.25">
      <c r="Q255" s="3"/>
      <c r="R255" s="3"/>
    </row>
    <row r="256" spans="17:18" x14ac:dyDescent="0.25">
      <c r="Q256" s="3"/>
      <c r="R256" s="3"/>
    </row>
    <row r="257" spans="17:18" x14ac:dyDescent="0.25">
      <c r="Q257" s="3"/>
      <c r="R257" s="3"/>
    </row>
    <row r="258" spans="17:18" x14ac:dyDescent="0.25">
      <c r="Q258" s="3"/>
      <c r="R258" s="3"/>
    </row>
    <row r="259" spans="17:18" x14ac:dyDescent="0.25">
      <c r="Q259" s="3"/>
      <c r="R259" s="3"/>
    </row>
    <row r="260" spans="17:18" x14ac:dyDescent="0.25">
      <c r="Q260" s="3"/>
      <c r="R260" s="3"/>
    </row>
    <row r="261" spans="17:18" x14ac:dyDescent="0.25">
      <c r="Q261" s="3"/>
      <c r="R261" s="3"/>
    </row>
    <row r="262" spans="17:18" x14ac:dyDescent="0.25">
      <c r="Q262" s="3"/>
      <c r="R262" s="3"/>
    </row>
    <row r="263" spans="17:18" x14ac:dyDescent="0.25">
      <c r="Q263" s="3"/>
      <c r="R263" s="3"/>
    </row>
    <row r="264" spans="17:18" x14ac:dyDescent="0.25">
      <c r="Q264" s="3"/>
      <c r="R264" s="3"/>
    </row>
    <row r="265" spans="17:18" x14ac:dyDescent="0.25">
      <c r="Q265" s="3"/>
      <c r="R265" s="3"/>
    </row>
    <row r="266" spans="17:18" x14ac:dyDescent="0.25">
      <c r="Q266" s="3"/>
      <c r="R266" s="3"/>
    </row>
    <row r="267" spans="17:18" x14ac:dyDescent="0.25">
      <c r="Q267" s="3"/>
      <c r="R267" s="3"/>
    </row>
    <row r="268" spans="17:18" x14ac:dyDescent="0.25">
      <c r="Q268" s="3"/>
      <c r="R268" s="3"/>
    </row>
  </sheetData>
  <mergeCells count="11">
    <mergeCell ref="R27:R28"/>
    <mergeCell ref="R33:R34"/>
    <mergeCell ref="R11:R12"/>
    <mergeCell ref="U3:Y3"/>
    <mergeCell ref="U4:V4"/>
    <mergeCell ref="L3:P3"/>
    <mergeCell ref="F4:H4"/>
    <mergeCell ref="I4:J4"/>
    <mergeCell ref="N4:P4"/>
    <mergeCell ref="W4:Y4"/>
    <mergeCell ref="L4:M4"/>
  </mergeCells>
  <phoneticPr fontId="3" type="noConversion"/>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C062-F816-4B52-831C-8A65968F40DF}">
  <dimension ref="A3:B23"/>
  <sheetViews>
    <sheetView workbookViewId="0">
      <selection activeCell="J26" sqref="J26"/>
    </sheetView>
  </sheetViews>
  <sheetFormatPr baseColWidth="10" defaultRowHeight="15" x14ac:dyDescent="0.25"/>
  <cols>
    <col min="1" max="1" width="24.85546875" customWidth="1"/>
  </cols>
  <sheetData>
    <row r="3" spans="1:2" x14ac:dyDescent="0.25">
      <c r="A3" t="s">
        <v>107</v>
      </c>
      <c r="B3" t="s">
        <v>116</v>
      </c>
    </row>
    <row r="4" spans="1:2" x14ac:dyDescent="0.25">
      <c r="B4" t="s">
        <v>126</v>
      </c>
    </row>
    <row r="5" spans="1:2" x14ac:dyDescent="0.25">
      <c r="B5" t="s">
        <v>105</v>
      </c>
    </row>
    <row r="6" spans="1:2" x14ac:dyDescent="0.25">
      <c r="B6" t="s">
        <v>106</v>
      </c>
    </row>
    <row r="7" spans="1:2" x14ac:dyDescent="0.25">
      <c r="B7" t="s">
        <v>115</v>
      </c>
    </row>
    <row r="8" spans="1:2" x14ac:dyDescent="0.25">
      <c r="B8" t="s">
        <v>119</v>
      </c>
    </row>
    <row r="10" spans="1:2" x14ac:dyDescent="0.25">
      <c r="A10" t="s">
        <v>108</v>
      </c>
      <c r="B10" t="s">
        <v>112</v>
      </c>
    </row>
    <row r="11" spans="1:2" x14ac:dyDescent="0.25">
      <c r="B11" t="s">
        <v>114</v>
      </c>
    </row>
    <row r="12" spans="1:2" x14ac:dyDescent="0.25">
      <c r="B12" t="s">
        <v>113</v>
      </c>
    </row>
    <row r="14" spans="1:2" x14ac:dyDescent="0.25">
      <c r="A14" t="s">
        <v>109</v>
      </c>
      <c r="B14" t="s">
        <v>110</v>
      </c>
    </row>
    <row r="15" spans="1:2" x14ac:dyDescent="0.25">
      <c r="B15" t="s">
        <v>111</v>
      </c>
    </row>
    <row r="17" spans="1:2" x14ac:dyDescent="0.25">
      <c r="A17" t="s">
        <v>120</v>
      </c>
      <c r="B17" t="s">
        <v>122</v>
      </c>
    </row>
    <row r="18" spans="1:2" x14ac:dyDescent="0.25">
      <c r="B18" t="s">
        <v>121</v>
      </c>
    </row>
    <row r="19" spans="1:2" x14ac:dyDescent="0.25">
      <c r="B19" t="s">
        <v>123</v>
      </c>
    </row>
    <row r="21" spans="1:2" x14ac:dyDescent="0.25">
      <c r="A21" t="s">
        <v>117</v>
      </c>
      <c r="B21" t="s">
        <v>118</v>
      </c>
    </row>
    <row r="23" spans="1:2" x14ac:dyDescent="0.25">
      <c r="A23" t="s">
        <v>124</v>
      </c>
      <c r="B23"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CA4D-FFAD-4E30-A8E5-685E199E4BB2}">
  <sheetPr>
    <pageSetUpPr fitToPage="1"/>
  </sheetPr>
  <dimension ref="A1:V109"/>
  <sheetViews>
    <sheetView tabSelected="1" workbookViewId="0">
      <pane xSplit="2" ySplit="5" topLeftCell="P76" activePane="bottomRight" state="frozen"/>
      <selection pane="topRight" activeCell="C1" sqref="C1"/>
      <selection pane="bottomLeft" activeCell="A6" sqref="A6"/>
      <selection pane="bottomRight" activeCell="Y94" sqref="Y94"/>
    </sheetView>
  </sheetViews>
  <sheetFormatPr baseColWidth="10" defaultRowHeight="15" x14ac:dyDescent="0.25"/>
  <cols>
    <col min="1" max="1" width="5.85546875" customWidth="1"/>
    <col min="2" max="2" width="27.42578125" style="1" customWidth="1"/>
    <col min="3" max="3" width="20" style="2" customWidth="1"/>
    <col min="4" max="4" width="13.7109375" style="2" customWidth="1"/>
    <col min="5" max="5" width="12.42578125" style="2" customWidth="1"/>
    <col min="6" max="6" width="44.7109375" style="2" customWidth="1"/>
    <col min="7" max="7" width="13.140625" style="2" customWidth="1"/>
    <col min="8" max="8" width="14.5703125" style="2" customWidth="1"/>
    <col min="9" max="9" width="9.5703125" style="2" customWidth="1"/>
    <col min="10" max="10" width="8.42578125" style="2" customWidth="1"/>
    <col min="11" max="11" width="39.140625" style="2" customWidth="1"/>
    <col min="12" max="12" width="13" style="2" customWidth="1"/>
    <col min="13" max="13" width="16.28515625" style="2" customWidth="1"/>
    <col min="14" max="14" width="9.42578125" style="2" customWidth="1"/>
    <col min="15" max="15" width="7.7109375" style="2" customWidth="1"/>
    <col min="16" max="16" width="34.7109375" style="2" customWidth="1"/>
    <col min="17" max="17" width="12.7109375" style="2" customWidth="1"/>
    <col min="18" max="18" width="16.85546875" style="2" customWidth="1"/>
    <col min="19" max="19" width="9.28515625" style="2" customWidth="1"/>
    <col min="20" max="20" width="8.140625" customWidth="1"/>
    <col min="21" max="21" width="38.7109375" customWidth="1"/>
  </cols>
  <sheetData>
    <row r="1" spans="1:22" x14ac:dyDescent="0.25">
      <c r="A1" s="1" t="s">
        <v>127</v>
      </c>
    </row>
    <row r="3" spans="1:22" ht="15.75" thickBot="1" x14ac:dyDescent="0.3"/>
    <row r="4" spans="1:22" x14ac:dyDescent="0.25">
      <c r="C4" s="90" t="s">
        <v>347</v>
      </c>
      <c r="D4" s="91"/>
      <c r="E4" s="91"/>
      <c r="F4" s="91"/>
      <c r="G4" s="92"/>
      <c r="H4" s="90" t="s">
        <v>351</v>
      </c>
      <c r="I4" s="91"/>
      <c r="J4" s="91"/>
      <c r="K4" s="91"/>
      <c r="L4" s="92"/>
      <c r="M4" s="90" t="s">
        <v>135</v>
      </c>
      <c r="N4" s="91"/>
      <c r="O4" s="91"/>
      <c r="P4" s="91"/>
      <c r="Q4" s="92"/>
      <c r="R4" s="90" t="s">
        <v>353</v>
      </c>
      <c r="S4" s="91"/>
      <c r="T4" s="91"/>
      <c r="U4" s="91"/>
      <c r="V4" s="92"/>
    </row>
    <row r="5" spans="1:22" s="32" customFormat="1" ht="45.75" thickBot="1" x14ac:dyDescent="0.3">
      <c r="C5" s="77" t="s">
        <v>136</v>
      </c>
      <c r="D5" s="78" t="s">
        <v>133</v>
      </c>
      <c r="E5" s="78" t="s">
        <v>134</v>
      </c>
      <c r="F5" s="78" t="s">
        <v>219</v>
      </c>
      <c r="G5" s="79" t="s">
        <v>28</v>
      </c>
      <c r="H5" s="77" t="s">
        <v>136</v>
      </c>
      <c r="I5" s="78" t="s">
        <v>133</v>
      </c>
      <c r="J5" s="78" t="s">
        <v>134</v>
      </c>
      <c r="K5" s="78" t="s">
        <v>219</v>
      </c>
      <c r="L5" s="79" t="s">
        <v>28</v>
      </c>
      <c r="M5" s="77" t="s">
        <v>136</v>
      </c>
      <c r="N5" s="78" t="s">
        <v>133</v>
      </c>
      <c r="O5" s="78" t="s">
        <v>134</v>
      </c>
      <c r="P5" s="78" t="s">
        <v>219</v>
      </c>
      <c r="Q5" s="79" t="s">
        <v>28</v>
      </c>
      <c r="R5" s="77" t="s">
        <v>136</v>
      </c>
      <c r="S5" s="78" t="s">
        <v>133</v>
      </c>
      <c r="T5" s="78" t="s">
        <v>134</v>
      </c>
      <c r="U5" s="78" t="s">
        <v>219</v>
      </c>
      <c r="V5" s="79" t="s">
        <v>28</v>
      </c>
    </row>
    <row r="6" spans="1:22" x14ac:dyDescent="0.25">
      <c r="B6" s="80" t="s">
        <v>128</v>
      </c>
      <c r="C6" s="34" t="s">
        <v>140</v>
      </c>
      <c r="D6" s="2">
        <v>1</v>
      </c>
      <c r="E6" s="89">
        <f>90+40+90+30+80+15+50*2+30+60</f>
        <v>535</v>
      </c>
      <c r="F6" s="31" t="s">
        <v>141</v>
      </c>
      <c r="G6" s="94"/>
      <c r="H6" s="34" t="s">
        <v>238</v>
      </c>
      <c r="I6" s="2">
        <v>1</v>
      </c>
      <c r="J6" s="88">
        <f>90+60+100+30+60+60+80</f>
        <v>480</v>
      </c>
      <c r="K6" s="31" t="s">
        <v>141</v>
      </c>
      <c r="L6" s="33">
        <v>384.55</v>
      </c>
      <c r="M6" s="44" t="s">
        <v>366</v>
      </c>
      <c r="N6" s="2">
        <v>1</v>
      </c>
      <c r="O6" s="88">
        <f>90+45+90+90+100+30+120</f>
        <v>565</v>
      </c>
      <c r="P6" s="31" t="s">
        <v>141</v>
      </c>
      <c r="Q6" s="33">
        <v>486.83</v>
      </c>
      <c r="R6" s="34" t="s">
        <v>317</v>
      </c>
      <c r="S6" s="2">
        <v>1</v>
      </c>
      <c r="T6" s="88">
        <f>80+90+90+40+50+100</f>
        <v>450</v>
      </c>
      <c r="U6" s="31" t="s">
        <v>141</v>
      </c>
      <c r="V6" s="33">
        <v>522.64</v>
      </c>
    </row>
    <row r="7" spans="1:22" x14ac:dyDescent="0.25">
      <c r="B7" s="81"/>
      <c r="C7" s="34" t="s">
        <v>153</v>
      </c>
      <c r="D7" s="2">
        <v>1</v>
      </c>
      <c r="E7" s="89"/>
      <c r="F7" s="31" t="s">
        <v>154</v>
      </c>
      <c r="G7" s="94"/>
      <c r="H7" s="34" t="s">
        <v>233</v>
      </c>
      <c r="I7" s="2">
        <v>1</v>
      </c>
      <c r="J7" s="88"/>
      <c r="K7" s="31" t="s">
        <v>237</v>
      </c>
      <c r="L7" s="33">
        <v>1017.82</v>
      </c>
      <c r="M7" s="44" t="s">
        <v>367</v>
      </c>
      <c r="N7" s="2">
        <v>1</v>
      </c>
      <c r="O7" s="88"/>
      <c r="P7" s="31" t="s">
        <v>237</v>
      </c>
      <c r="Q7" s="33">
        <v>559.47</v>
      </c>
      <c r="R7" s="34" t="s">
        <v>294</v>
      </c>
      <c r="S7" s="2">
        <v>1</v>
      </c>
      <c r="T7" s="88"/>
      <c r="U7" s="31" t="s">
        <v>295</v>
      </c>
      <c r="V7" s="33">
        <v>935.09</v>
      </c>
    </row>
    <row r="8" spans="1:22" x14ac:dyDescent="0.25">
      <c r="B8" s="81"/>
      <c r="C8" s="34" t="s">
        <v>162</v>
      </c>
      <c r="D8" s="2">
        <v>1</v>
      </c>
      <c r="E8" s="89"/>
      <c r="F8" s="31" t="s">
        <v>163</v>
      </c>
      <c r="G8" s="94"/>
      <c r="H8" s="34" t="s">
        <v>242</v>
      </c>
      <c r="I8" s="2">
        <v>1</v>
      </c>
      <c r="J8" s="88"/>
      <c r="K8" s="31" t="s">
        <v>243</v>
      </c>
      <c r="L8" s="33">
        <v>847.02</v>
      </c>
      <c r="M8" s="44" t="s">
        <v>366</v>
      </c>
      <c r="N8" s="2">
        <v>1</v>
      </c>
      <c r="O8" s="88"/>
      <c r="P8" s="31" t="s">
        <v>243</v>
      </c>
      <c r="Q8" s="33">
        <v>781.97</v>
      </c>
      <c r="R8" s="34" t="s">
        <v>294</v>
      </c>
      <c r="S8" s="2">
        <v>1</v>
      </c>
      <c r="T8" s="88"/>
      <c r="U8" s="31" t="s">
        <v>243</v>
      </c>
      <c r="V8" s="33">
        <v>849.09</v>
      </c>
    </row>
    <row r="9" spans="1:22" x14ac:dyDescent="0.25">
      <c r="B9" s="81"/>
      <c r="C9" s="34" t="s">
        <v>164</v>
      </c>
      <c r="D9" s="2">
        <v>1</v>
      </c>
      <c r="E9" s="89"/>
      <c r="F9" s="31" t="s">
        <v>165</v>
      </c>
      <c r="G9" s="94"/>
      <c r="H9" s="34" t="s">
        <v>262</v>
      </c>
      <c r="I9" s="2">
        <v>1</v>
      </c>
      <c r="J9" s="88"/>
      <c r="K9" s="31" t="s">
        <v>263</v>
      </c>
      <c r="L9" s="48">
        <v>680.21</v>
      </c>
      <c r="M9" s="34"/>
      <c r="O9" s="88"/>
      <c r="P9" s="31"/>
      <c r="Q9" s="33"/>
      <c r="R9" s="34" t="s">
        <v>310</v>
      </c>
      <c r="S9" s="2">
        <v>1</v>
      </c>
      <c r="T9" s="88"/>
      <c r="U9" s="31" t="s">
        <v>311</v>
      </c>
      <c r="V9" s="33">
        <v>653.73</v>
      </c>
    </row>
    <row r="10" spans="1:22" x14ac:dyDescent="0.25">
      <c r="B10" s="81"/>
      <c r="C10" s="84" t="s">
        <v>158</v>
      </c>
      <c r="D10" s="2">
        <v>1</v>
      </c>
      <c r="E10" s="89"/>
      <c r="F10" s="31" t="s">
        <v>166</v>
      </c>
      <c r="G10" s="94"/>
      <c r="H10" s="34" t="s">
        <v>233</v>
      </c>
      <c r="I10" s="2">
        <v>1</v>
      </c>
      <c r="J10" s="88"/>
      <c r="K10" s="31" t="s">
        <v>239</v>
      </c>
      <c r="L10" s="33">
        <v>430.5</v>
      </c>
      <c r="M10" s="44" t="s">
        <v>366</v>
      </c>
      <c r="N10" s="2">
        <v>1</v>
      </c>
      <c r="O10" s="88"/>
      <c r="P10" s="31" t="s">
        <v>295</v>
      </c>
      <c r="Q10" s="33">
        <v>838.64</v>
      </c>
      <c r="R10" s="34"/>
      <c r="T10" s="88"/>
      <c r="U10" s="31"/>
      <c r="V10" s="33"/>
    </row>
    <row r="11" spans="1:22" x14ac:dyDescent="0.25">
      <c r="B11" s="81"/>
      <c r="C11" s="84" t="s">
        <v>169</v>
      </c>
      <c r="D11" s="2">
        <v>1</v>
      </c>
      <c r="E11" s="89"/>
      <c r="F11" s="31" t="s">
        <v>170</v>
      </c>
      <c r="G11" s="94"/>
      <c r="H11" s="84" t="s">
        <v>244</v>
      </c>
      <c r="I11" s="2">
        <v>2</v>
      </c>
      <c r="J11" s="88"/>
      <c r="K11" s="31" t="s">
        <v>239</v>
      </c>
      <c r="L11" s="33">
        <f>458.47*I11</f>
        <v>916.94</v>
      </c>
      <c r="M11" s="44" t="s">
        <v>369</v>
      </c>
      <c r="N11" s="2">
        <v>1</v>
      </c>
      <c r="O11" s="88"/>
      <c r="P11" s="31" t="s">
        <v>295</v>
      </c>
      <c r="Q11" s="33">
        <v>856.42</v>
      </c>
      <c r="R11" s="84" t="s">
        <v>309</v>
      </c>
      <c r="S11" s="2">
        <v>1</v>
      </c>
      <c r="T11" s="88"/>
      <c r="U11" s="31" t="s">
        <v>312</v>
      </c>
      <c r="V11" s="33">
        <v>365.68</v>
      </c>
    </row>
    <row r="12" spans="1:22" x14ac:dyDescent="0.25">
      <c r="B12" s="81"/>
      <c r="C12" s="84" t="s">
        <v>171</v>
      </c>
      <c r="D12" s="2">
        <v>2</v>
      </c>
      <c r="E12" s="89"/>
      <c r="F12" s="31" t="s">
        <v>172</v>
      </c>
      <c r="G12" s="94"/>
      <c r="H12" s="34" t="s">
        <v>240</v>
      </c>
      <c r="I12" s="2">
        <v>1</v>
      </c>
      <c r="J12" s="88"/>
      <c r="K12" s="31" t="s">
        <v>241</v>
      </c>
      <c r="L12" s="33">
        <v>901.96</v>
      </c>
      <c r="M12" s="44" t="s">
        <v>372</v>
      </c>
      <c r="N12" s="2">
        <v>1</v>
      </c>
      <c r="O12" s="88"/>
      <c r="P12" s="31" t="s">
        <v>373</v>
      </c>
      <c r="Q12" s="33">
        <v>516.14</v>
      </c>
      <c r="R12" s="84" t="s">
        <v>315</v>
      </c>
      <c r="S12" s="2">
        <v>1</v>
      </c>
      <c r="T12" s="88"/>
      <c r="U12" s="31" t="s">
        <v>316</v>
      </c>
      <c r="V12" s="33">
        <v>595.29</v>
      </c>
    </row>
    <row r="13" spans="1:22" x14ac:dyDescent="0.25">
      <c r="B13" s="81"/>
      <c r="C13" s="34" t="s">
        <v>164</v>
      </c>
      <c r="D13" s="2">
        <v>1</v>
      </c>
      <c r="E13" s="89"/>
      <c r="F13" s="31" t="s">
        <v>193</v>
      </c>
      <c r="G13" s="94"/>
      <c r="H13" s="44"/>
      <c r="J13" s="88"/>
      <c r="K13" s="31"/>
      <c r="L13" s="33"/>
      <c r="M13" s="84" t="s">
        <v>374</v>
      </c>
      <c r="N13" s="2">
        <v>1</v>
      </c>
      <c r="O13" s="88"/>
      <c r="P13" s="31" t="s">
        <v>375</v>
      </c>
      <c r="Q13" s="33">
        <v>575.72</v>
      </c>
      <c r="R13" s="34"/>
      <c r="T13" s="88"/>
      <c r="U13" s="31"/>
      <c r="V13" s="33"/>
    </row>
    <row r="14" spans="1:22" x14ac:dyDescent="0.25">
      <c r="B14" s="81"/>
      <c r="C14" s="84" t="s">
        <v>198</v>
      </c>
      <c r="D14" s="2">
        <v>1</v>
      </c>
      <c r="E14" s="89"/>
      <c r="F14" s="31" t="s">
        <v>431</v>
      </c>
      <c r="G14" s="94"/>
      <c r="H14" s="44"/>
      <c r="J14" s="88"/>
      <c r="K14" s="31"/>
      <c r="L14" s="33"/>
      <c r="M14" s="44"/>
      <c r="O14" s="88"/>
      <c r="P14" s="31"/>
      <c r="Q14" s="33"/>
      <c r="R14" s="34"/>
      <c r="T14" s="88"/>
      <c r="U14" s="31"/>
      <c r="V14" s="33"/>
    </row>
    <row r="15" spans="1:22" x14ac:dyDescent="0.25">
      <c r="B15" s="81" t="s">
        <v>137</v>
      </c>
      <c r="C15" s="51" t="s">
        <v>138</v>
      </c>
      <c r="D15" s="2">
        <v>1</v>
      </c>
      <c r="E15" s="93">
        <f>60+60+60*2+45+60</f>
        <v>345</v>
      </c>
      <c r="F15" s="31" t="s">
        <v>144</v>
      </c>
      <c r="G15" s="94"/>
      <c r="H15" s="34" t="s">
        <v>228</v>
      </c>
      <c r="I15" s="2">
        <v>1</v>
      </c>
      <c r="J15" s="88">
        <f>50+60+20</f>
        <v>130</v>
      </c>
      <c r="K15" s="31" t="s">
        <v>229</v>
      </c>
      <c r="L15" s="33">
        <v>949.9</v>
      </c>
      <c r="M15" s="44" t="s">
        <v>365</v>
      </c>
      <c r="N15" s="2">
        <v>1</v>
      </c>
      <c r="O15" s="88">
        <f>60+60+60</f>
        <v>180</v>
      </c>
      <c r="P15" s="31" t="s">
        <v>370</v>
      </c>
      <c r="Q15" s="33">
        <v>795.17</v>
      </c>
      <c r="R15" s="34" t="s">
        <v>287</v>
      </c>
      <c r="S15" s="2">
        <v>1</v>
      </c>
      <c r="T15" s="88">
        <f>60+60+30</f>
        <v>150</v>
      </c>
      <c r="U15" s="31" t="s">
        <v>229</v>
      </c>
      <c r="V15" s="33">
        <v>973.49</v>
      </c>
    </row>
    <row r="16" spans="1:22" x14ac:dyDescent="0.25">
      <c r="B16" s="81"/>
      <c r="C16" s="51" t="s">
        <v>138</v>
      </c>
      <c r="D16" s="2">
        <v>1</v>
      </c>
      <c r="E16" s="93"/>
      <c r="F16" s="31" t="s">
        <v>139</v>
      </c>
      <c r="G16" s="94"/>
      <c r="H16" s="44" t="s">
        <v>230</v>
      </c>
      <c r="I16" s="2">
        <v>1</v>
      </c>
      <c r="J16" s="88"/>
      <c r="K16" s="31" t="s">
        <v>231</v>
      </c>
      <c r="L16" s="33">
        <v>467.46</v>
      </c>
      <c r="M16" s="44" t="s">
        <v>365</v>
      </c>
      <c r="N16" s="2">
        <v>1</v>
      </c>
      <c r="O16" s="88"/>
      <c r="P16" s="31" t="s">
        <v>139</v>
      </c>
      <c r="Q16" s="33">
        <v>848.92</v>
      </c>
      <c r="R16" s="34" t="s">
        <v>287</v>
      </c>
      <c r="S16" s="2">
        <v>1</v>
      </c>
      <c r="T16" s="88"/>
      <c r="U16" s="31" t="s">
        <v>288</v>
      </c>
      <c r="V16" s="33">
        <v>955.13</v>
      </c>
    </row>
    <row r="17" spans="2:22" x14ac:dyDescent="0.25">
      <c r="B17" s="81"/>
      <c r="C17" s="51" t="s">
        <v>138</v>
      </c>
      <c r="D17" s="2">
        <v>2</v>
      </c>
      <c r="E17" s="93"/>
      <c r="F17" s="31" t="s">
        <v>148</v>
      </c>
      <c r="G17" s="94"/>
      <c r="H17" s="44" t="s">
        <v>267</v>
      </c>
      <c r="I17" s="2">
        <v>1</v>
      </c>
      <c r="J17" s="88"/>
      <c r="K17" s="31" t="s">
        <v>268</v>
      </c>
      <c r="L17" s="33">
        <f>587.32+131.85</f>
        <v>719.17000000000007</v>
      </c>
      <c r="M17" s="44" t="s">
        <v>365</v>
      </c>
      <c r="N17" s="2">
        <v>1</v>
      </c>
      <c r="O17" s="88"/>
      <c r="P17" s="31" t="s">
        <v>368</v>
      </c>
      <c r="Q17" s="33">
        <v>655.16999999999996</v>
      </c>
      <c r="R17" s="34" t="s">
        <v>290</v>
      </c>
      <c r="S17" s="2">
        <v>1</v>
      </c>
      <c r="T17" s="88"/>
      <c r="U17" s="31" t="s">
        <v>291</v>
      </c>
      <c r="V17" s="33">
        <v>1479.45</v>
      </c>
    </row>
    <row r="18" spans="2:22" x14ac:dyDescent="0.25">
      <c r="B18" s="81"/>
      <c r="C18" s="51" t="s">
        <v>147</v>
      </c>
      <c r="D18" s="2">
        <v>1</v>
      </c>
      <c r="E18" s="93"/>
      <c r="F18" s="31" t="s">
        <v>189</v>
      </c>
      <c r="G18" s="94"/>
      <c r="H18" s="34"/>
      <c r="J18" s="88"/>
      <c r="L18" s="33"/>
      <c r="M18" s="44"/>
      <c r="O18" s="88"/>
      <c r="P18" s="31"/>
      <c r="Q18" s="33"/>
      <c r="R18" s="34"/>
      <c r="T18" s="88"/>
      <c r="U18" s="31"/>
      <c r="V18" s="33"/>
    </row>
    <row r="19" spans="2:22" x14ac:dyDescent="0.25">
      <c r="B19" s="81"/>
      <c r="C19" s="52" t="s">
        <v>138</v>
      </c>
      <c r="D19" s="2">
        <v>1</v>
      </c>
      <c r="E19" s="93"/>
      <c r="F19" s="31" t="s">
        <v>190</v>
      </c>
      <c r="G19" s="94"/>
      <c r="H19" s="44"/>
      <c r="J19" s="88"/>
      <c r="K19" s="31"/>
      <c r="L19" s="33"/>
      <c r="M19" s="44"/>
      <c r="O19" s="88"/>
      <c r="P19" s="31"/>
      <c r="Q19" s="33"/>
      <c r="R19" s="34"/>
      <c r="T19" s="88"/>
      <c r="U19" s="31"/>
      <c r="V19" s="33"/>
    </row>
    <row r="20" spans="2:22" x14ac:dyDescent="0.25">
      <c r="B20" s="81"/>
      <c r="C20" s="34"/>
      <c r="E20" s="93"/>
      <c r="F20" s="31"/>
      <c r="G20" s="94"/>
      <c r="H20" s="44"/>
      <c r="J20" s="88"/>
      <c r="K20" s="31"/>
      <c r="L20" s="33"/>
      <c r="M20" s="44"/>
      <c r="O20" s="88"/>
      <c r="P20" s="31"/>
      <c r="Q20" s="33"/>
      <c r="R20" s="34"/>
      <c r="T20" s="88"/>
      <c r="U20" s="31"/>
      <c r="V20" s="33"/>
    </row>
    <row r="21" spans="2:22" x14ac:dyDescent="0.25">
      <c r="B21" s="81" t="s">
        <v>129</v>
      </c>
      <c r="C21" s="34" t="s">
        <v>142</v>
      </c>
      <c r="D21" s="2">
        <v>1</v>
      </c>
      <c r="E21" s="89">
        <f>95+80*2+80+60</f>
        <v>395</v>
      </c>
      <c r="F21" s="31" t="s">
        <v>143</v>
      </c>
      <c r="G21" s="94"/>
      <c r="H21" s="44" t="s">
        <v>250</v>
      </c>
      <c r="I21" s="2">
        <v>1</v>
      </c>
      <c r="J21" s="88">
        <f>100+90*2+60+60*2+60</f>
        <v>520</v>
      </c>
      <c r="K21" s="31" t="s">
        <v>246</v>
      </c>
      <c r="L21" s="33">
        <v>298.64999999999998</v>
      </c>
      <c r="M21" s="44" t="s">
        <v>376</v>
      </c>
      <c r="N21" s="2">
        <v>1</v>
      </c>
      <c r="O21" s="88">
        <f>45+90+90+100</f>
        <v>325</v>
      </c>
      <c r="P21" s="31" t="s">
        <v>377</v>
      </c>
      <c r="Q21" s="33">
        <v>343.33</v>
      </c>
      <c r="R21" s="34" t="s">
        <v>300</v>
      </c>
      <c r="S21" s="2">
        <v>1</v>
      </c>
      <c r="T21" s="88">
        <f>90+100</f>
        <v>190</v>
      </c>
      <c r="U21" s="31" t="s">
        <v>301</v>
      </c>
      <c r="V21" s="33">
        <v>774.79</v>
      </c>
    </row>
    <row r="22" spans="2:22" x14ac:dyDescent="0.25">
      <c r="B22" s="81"/>
      <c r="C22" s="34" t="s">
        <v>158</v>
      </c>
      <c r="D22" s="2">
        <v>2</v>
      </c>
      <c r="E22" s="89"/>
      <c r="F22" s="31" t="s">
        <v>159</v>
      </c>
      <c r="G22" s="94"/>
      <c r="H22" s="44" t="s">
        <v>245</v>
      </c>
      <c r="I22" s="2">
        <v>2</v>
      </c>
      <c r="J22" s="88"/>
      <c r="K22" s="31" t="s">
        <v>256</v>
      </c>
      <c r="L22" s="33">
        <f>277.68*I22</f>
        <v>555.36</v>
      </c>
      <c r="M22" s="44" t="s">
        <v>378</v>
      </c>
      <c r="N22" s="2">
        <v>1</v>
      </c>
      <c r="O22" s="88"/>
      <c r="P22" s="31" t="s">
        <v>379</v>
      </c>
      <c r="Q22" s="33">
        <v>369.87</v>
      </c>
      <c r="R22" s="34" t="s">
        <v>319</v>
      </c>
      <c r="S22" s="2">
        <v>1</v>
      </c>
      <c r="T22" s="88"/>
      <c r="U22" s="31" t="s">
        <v>256</v>
      </c>
      <c r="V22" s="33">
        <v>405.76</v>
      </c>
    </row>
    <row r="23" spans="2:22" x14ac:dyDescent="0.25">
      <c r="B23" s="81"/>
      <c r="C23" s="34" t="s">
        <v>160</v>
      </c>
      <c r="D23" s="2">
        <v>1</v>
      </c>
      <c r="E23" s="89"/>
      <c r="F23" s="31" t="s">
        <v>161</v>
      </c>
      <c r="G23" s="94"/>
      <c r="H23" s="44" t="s">
        <v>251</v>
      </c>
      <c r="I23" s="2">
        <v>1</v>
      </c>
      <c r="J23" s="88"/>
      <c r="K23" s="31" t="s">
        <v>252</v>
      </c>
      <c r="L23" s="33">
        <f>254.71+131.85</f>
        <v>386.56</v>
      </c>
      <c r="M23" s="44" t="s">
        <v>378</v>
      </c>
      <c r="N23" s="2">
        <v>1</v>
      </c>
      <c r="O23" s="88"/>
      <c r="P23" s="31" t="s">
        <v>380</v>
      </c>
      <c r="Q23" s="33">
        <v>612.1</v>
      </c>
      <c r="R23" s="34"/>
      <c r="T23" s="88"/>
      <c r="U23" s="31"/>
      <c r="V23" s="33"/>
    </row>
    <row r="24" spans="2:22" x14ac:dyDescent="0.25">
      <c r="B24" s="81"/>
      <c r="C24" s="34" t="s">
        <v>173</v>
      </c>
      <c r="D24" s="2">
        <v>2</v>
      </c>
      <c r="E24" s="89"/>
      <c r="F24" s="31" t="s">
        <v>174</v>
      </c>
      <c r="G24" s="94"/>
      <c r="H24" s="44" t="s">
        <v>257</v>
      </c>
      <c r="I24" s="2">
        <v>2</v>
      </c>
      <c r="J24" s="88"/>
      <c r="K24" s="31" t="s">
        <v>258</v>
      </c>
      <c r="L24" s="33">
        <f>192.78*I24</f>
        <v>385.56</v>
      </c>
      <c r="M24" s="44" t="s">
        <v>381</v>
      </c>
      <c r="N24" s="2">
        <v>1</v>
      </c>
      <c r="O24" s="88"/>
      <c r="P24" s="31" t="s">
        <v>379</v>
      </c>
      <c r="Q24" s="33">
        <v>394.32</v>
      </c>
      <c r="R24" s="34"/>
      <c r="T24" s="88"/>
      <c r="U24" s="31"/>
      <c r="V24" s="33"/>
    </row>
    <row r="25" spans="2:22" x14ac:dyDescent="0.25">
      <c r="B25" s="81"/>
      <c r="C25" s="34"/>
      <c r="F25" s="31"/>
      <c r="G25" s="94"/>
      <c r="H25" s="44" t="s">
        <v>257</v>
      </c>
      <c r="I25" s="2">
        <v>1</v>
      </c>
      <c r="J25" s="88"/>
      <c r="K25" s="31" t="s">
        <v>259</v>
      </c>
      <c r="L25" s="50">
        <f>254.71+131.85</f>
        <v>386.56</v>
      </c>
      <c r="M25" s="45"/>
      <c r="O25" s="46"/>
      <c r="P25" s="31"/>
      <c r="Q25" s="33"/>
      <c r="R25" s="34"/>
      <c r="U25" s="31"/>
      <c r="V25" s="33"/>
    </row>
    <row r="26" spans="2:22" x14ac:dyDescent="0.25">
      <c r="B26" s="81" t="s">
        <v>149</v>
      </c>
      <c r="C26" s="34" t="s">
        <v>150</v>
      </c>
      <c r="D26" s="2">
        <v>1</v>
      </c>
      <c r="E26" s="89"/>
      <c r="F26" s="31" t="s">
        <v>213</v>
      </c>
      <c r="G26" s="94"/>
      <c r="H26" s="44"/>
      <c r="J26" s="8"/>
      <c r="K26" s="96" t="s">
        <v>283</v>
      </c>
      <c r="L26" s="94">
        <v>3784</v>
      </c>
      <c r="M26" s="44" t="s">
        <v>406</v>
      </c>
      <c r="N26" s="2">
        <v>1</v>
      </c>
      <c r="O26" s="8"/>
      <c r="P26" s="31" t="s">
        <v>405</v>
      </c>
      <c r="Q26" s="33">
        <v>651.41</v>
      </c>
      <c r="R26" s="34" t="s">
        <v>327</v>
      </c>
      <c r="S26" s="2">
        <v>1</v>
      </c>
      <c r="U26" s="31" t="s">
        <v>329</v>
      </c>
      <c r="V26" s="33">
        <v>147.78</v>
      </c>
    </row>
    <row r="27" spans="2:22" x14ac:dyDescent="0.25">
      <c r="B27" s="81"/>
      <c r="C27" s="34" t="s">
        <v>179</v>
      </c>
      <c r="D27" s="2">
        <v>1</v>
      </c>
      <c r="E27" s="89"/>
      <c r="F27" s="31" t="s">
        <v>180</v>
      </c>
      <c r="G27" s="94"/>
      <c r="H27" s="44"/>
      <c r="J27" s="8"/>
      <c r="K27" s="96"/>
      <c r="L27" s="94"/>
      <c r="M27" s="44" t="s">
        <v>407</v>
      </c>
      <c r="N27" s="2">
        <v>1</v>
      </c>
      <c r="O27" s="8"/>
      <c r="P27" s="31" t="s">
        <v>405</v>
      </c>
      <c r="Q27" s="33">
        <v>144.35</v>
      </c>
      <c r="R27" s="34" t="s">
        <v>328</v>
      </c>
      <c r="S27" s="2">
        <v>1</v>
      </c>
      <c r="U27" s="31" t="s">
        <v>330</v>
      </c>
      <c r="V27" s="33">
        <v>652.22</v>
      </c>
    </row>
    <row r="28" spans="2:22" x14ac:dyDescent="0.25">
      <c r="B28" s="81"/>
      <c r="C28" s="34" t="s">
        <v>181</v>
      </c>
      <c r="D28" s="2">
        <v>1</v>
      </c>
      <c r="E28" s="89"/>
      <c r="F28" s="31" t="s">
        <v>182</v>
      </c>
      <c r="G28" s="94"/>
      <c r="H28" s="44"/>
      <c r="J28" s="8"/>
      <c r="K28" s="96"/>
      <c r="L28" s="94"/>
      <c r="M28" s="44" t="s">
        <v>408</v>
      </c>
      <c r="N28" s="2">
        <v>1</v>
      </c>
      <c r="O28" s="8"/>
      <c r="P28" s="31" t="s">
        <v>409</v>
      </c>
      <c r="Q28" s="33">
        <v>324.52</v>
      </c>
      <c r="R28" s="34"/>
      <c r="U28" s="31" t="s">
        <v>331</v>
      </c>
      <c r="V28" s="33">
        <f>66.79*2+111.88+48.09</f>
        <v>293.55</v>
      </c>
    </row>
    <row r="29" spans="2:22" x14ac:dyDescent="0.25">
      <c r="B29" s="81"/>
      <c r="C29" s="34" t="s">
        <v>183</v>
      </c>
      <c r="D29" s="2">
        <v>1</v>
      </c>
      <c r="E29" s="89"/>
      <c r="F29" s="31" t="s">
        <v>182</v>
      </c>
      <c r="G29" s="94"/>
      <c r="H29" s="44"/>
      <c r="J29" s="8"/>
      <c r="K29" s="96"/>
      <c r="L29" s="94"/>
      <c r="M29" s="44" t="s">
        <v>410</v>
      </c>
      <c r="N29" s="2">
        <v>1</v>
      </c>
      <c r="O29" s="8"/>
      <c r="P29" s="31" t="s">
        <v>409</v>
      </c>
      <c r="Q29" s="33">
        <v>254.86</v>
      </c>
      <c r="R29" s="34"/>
      <c r="U29" s="31"/>
      <c r="V29" s="33"/>
    </row>
    <row r="30" spans="2:22" x14ac:dyDescent="0.25">
      <c r="B30" s="81"/>
      <c r="C30" s="34" t="s">
        <v>199</v>
      </c>
      <c r="D30" s="2">
        <v>1</v>
      </c>
      <c r="E30" s="89"/>
      <c r="F30" s="31" t="s">
        <v>429</v>
      </c>
      <c r="G30" s="94"/>
      <c r="H30" s="44"/>
      <c r="J30" s="8"/>
      <c r="K30" s="96"/>
      <c r="L30" s="94"/>
      <c r="M30" s="44"/>
      <c r="N30" s="2">
        <v>1</v>
      </c>
      <c r="O30" s="8"/>
      <c r="P30" s="31" t="s">
        <v>411</v>
      </c>
      <c r="Q30" s="33">
        <v>21.97</v>
      </c>
      <c r="R30" s="34"/>
      <c r="U30" s="31"/>
      <c r="V30" s="33"/>
    </row>
    <row r="31" spans="2:22" x14ac:dyDescent="0.25">
      <c r="B31" s="81"/>
      <c r="C31" s="34" t="s">
        <v>200</v>
      </c>
      <c r="D31" s="2">
        <v>1</v>
      </c>
      <c r="E31" s="89"/>
      <c r="F31" s="31" t="s">
        <v>430</v>
      </c>
      <c r="G31" s="94"/>
      <c r="H31" s="44"/>
      <c r="J31" s="8"/>
      <c r="K31" s="96"/>
      <c r="L31" s="94"/>
      <c r="M31" s="44"/>
      <c r="N31" s="2">
        <v>1</v>
      </c>
      <c r="O31" s="8"/>
      <c r="P31" s="31" t="s">
        <v>412</v>
      </c>
      <c r="Q31" s="33">
        <v>116.98</v>
      </c>
      <c r="R31" s="34"/>
      <c r="U31" s="31"/>
      <c r="V31" s="33"/>
    </row>
    <row r="32" spans="2:22" x14ac:dyDescent="0.25">
      <c r="B32" s="81"/>
      <c r="C32" s="52" t="s">
        <v>216</v>
      </c>
      <c r="D32" s="38" t="s">
        <v>215</v>
      </c>
      <c r="E32" s="89"/>
      <c r="F32" s="36" t="s">
        <v>180</v>
      </c>
      <c r="G32" s="94"/>
      <c r="H32" s="44"/>
      <c r="J32" s="8"/>
      <c r="K32" s="96"/>
      <c r="L32" s="94"/>
      <c r="M32" s="44"/>
      <c r="N32" s="2">
        <v>1</v>
      </c>
      <c r="O32" s="8"/>
      <c r="P32" s="31" t="s">
        <v>413</v>
      </c>
      <c r="Q32" s="33">
        <v>239.86</v>
      </c>
      <c r="R32" s="34"/>
      <c r="U32" s="31"/>
      <c r="V32" s="33"/>
    </row>
    <row r="33" spans="2:22" x14ac:dyDescent="0.25">
      <c r="B33" s="81"/>
      <c r="C33" s="52"/>
      <c r="D33" s="38"/>
      <c r="F33" s="36"/>
      <c r="G33" s="94"/>
      <c r="H33" s="44"/>
      <c r="J33" s="8"/>
      <c r="K33" s="31"/>
      <c r="L33" s="33"/>
      <c r="M33" s="44"/>
      <c r="N33" s="2">
        <v>1</v>
      </c>
      <c r="O33" s="8"/>
      <c r="P33" s="31" t="s">
        <v>414</v>
      </c>
      <c r="Q33" s="33">
        <v>65.8</v>
      </c>
      <c r="R33" s="34"/>
      <c r="U33" s="31"/>
      <c r="V33" s="33"/>
    </row>
    <row r="34" spans="2:22" x14ac:dyDescent="0.25">
      <c r="B34" s="81" t="s">
        <v>184</v>
      </c>
      <c r="C34" s="34" t="s">
        <v>185</v>
      </c>
      <c r="D34" s="38" t="s">
        <v>212</v>
      </c>
      <c r="G34" s="94"/>
      <c r="H34" s="44"/>
      <c r="J34" s="8"/>
      <c r="K34" s="31"/>
      <c r="L34" s="33"/>
      <c r="M34" s="44"/>
      <c r="O34" s="8"/>
      <c r="P34" s="31"/>
      <c r="Q34" s="33"/>
      <c r="R34" s="34"/>
      <c r="U34" s="31"/>
      <c r="V34" s="33"/>
    </row>
    <row r="35" spans="2:22" x14ac:dyDescent="0.25">
      <c r="B35" s="81" t="s">
        <v>186</v>
      </c>
      <c r="C35" s="34" t="s">
        <v>187</v>
      </c>
      <c r="D35" s="38" t="s">
        <v>212</v>
      </c>
      <c r="F35" s="31"/>
      <c r="G35" s="94"/>
      <c r="H35" s="44"/>
      <c r="J35" s="8"/>
      <c r="K35" s="31"/>
      <c r="L35" s="33"/>
      <c r="M35" s="44"/>
      <c r="O35" s="8"/>
      <c r="P35" s="31"/>
      <c r="Q35" s="33"/>
      <c r="R35" s="34"/>
      <c r="U35" s="31"/>
      <c r="V35" s="33"/>
    </row>
    <row r="36" spans="2:22" x14ac:dyDescent="0.25">
      <c r="B36" s="81" t="s">
        <v>145</v>
      </c>
      <c r="C36" s="34"/>
      <c r="D36" s="2">
        <v>1</v>
      </c>
      <c r="F36" s="31" t="s">
        <v>146</v>
      </c>
      <c r="G36" s="94"/>
      <c r="H36" s="44"/>
      <c r="J36" s="8"/>
      <c r="K36" s="36" t="s">
        <v>434</v>
      </c>
      <c r="L36" s="33"/>
      <c r="M36" s="44"/>
      <c r="O36" s="8"/>
      <c r="P36" s="36" t="s">
        <v>434</v>
      </c>
      <c r="Q36" s="33"/>
      <c r="R36" s="34"/>
      <c r="U36" s="36" t="s">
        <v>434</v>
      </c>
      <c r="V36" s="33"/>
    </row>
    <row r="37" spans="2:22" x14ac:dyDescent="0.25">
      <c r="B37" s="81" t="s">
        <v>264</v>
      </c>
      <c r="C37" s="34"/>
      <c r="D37" s="38" t="s">
        <v>210</v>
      </c>
      <c r="F37" s="31"/>
      <c r="G37" s="94"/>
      <c r="H37" s="44" t="s">
        <v>265</v>
      </c>
      <c r="I37" s="2">
        <f>60+342.7+358.8+183.4+132.7</f>
        <v>1077.5999999999999</v>
      </c>
      <c r="J37" s="8"/>
      <c r="K37" s="31" t="s">
        <v>266</v>
      </c>
      <c r="L37" s="33"/>
      <c r="M37" s="44" t="s">
        <v>388</v>
      </c>
      <c r="N37" s="2">
        <v>2</v>
      </c>
      <c r="O37" s="8"/>
      <c r="P37" s="31" t="s">
        <v>387</v>
      </c>
      <c r="Q37" s="33">
        <v>0.2</v>
      </c>
      <c r="R37" s="34" t="s">
        <v>322</v>
      </c>
      <c r="U37" s="31" t="s">
        <v>324</v>
      </c>
      <c r="V37" s="33">
        <v>122.23</v>
      </c>
    </row>
    <row r="38" spans="2:22" x14ac:dyDescent="0.25">
      <c r="B38" s="81"/>
      <c r="C38" s="34"/>
      <c r="D38" s="38"/>
      <c r="F38" s="31"/>
      <c r="G38" s="94"/>
      <c r="H38" s="44"/>
      <c r="J38" s="8"/>
      <c r="K38" s="31"/>
      <c r="L38" s="33"/>
      <c r="M38" s="44" t="s">
        <v>390</v>
      </c>
      <c r="N38" s="2">
        <v>1</v>
      </c>
      <c r="O38" s="8"/>
      <c r="P38" s="31"/>
      <c r="Q38" s="33">
        <v>0.32</v>
      </c>
      <c r="R38" s="34" t="s">
        <v>323</v>
      </c>
      <c r="U38" s="31" t="s">
        <v>325</v>
      </c>
      <c r="V38" s="33">
        <v>84.66</v>
      </c>
    </row>
    <row r="39" spans="2:22" x14ac:dyDescent="0.25">
      <c r="B39" s="81"/>
      <c r="C39" s="34"/>
      <c r="D39" s="38"/>
      <c r="F39" s="31"/>
      <c r="G39" s="94"/>
      <c r="H39" s="44"/>
      <c r="J39" s="8"/>
      <c r="K39" s="31"/>
      <c r="L39" s="33"/>
      <c r="M39" s="44" t="s">
        <v>389</v>
      </c>
      <c r="N39" s="2">
        <v>1</v>
      </c>
      <c r="O39" s="8"/>
      <c r="P39" s="31"/>
      <c r="Q39" s="33">
        <v>0.32</v>
      </c>
      <c r="R39" s="34"/>
      <c r="U39" s="31"/>
      <c r="V39" s="33"/>
    </row>
    <row r="40" spans="2:22" x14ac:dyDescent="0.25">
      <c r="B40" s="81"/>
      <c r="C40" s="34"/>
      <c r="D40" s="38"/>
      <c r="F40" s="31"/>
      <c r="G40" s="94"/>
      <c r="H40" s="44"/>
      <c r="J40" s="8"/>
      <c r="K40" s="31"/>
      <c r="L40" s="33"/>
      <c r="M40" s="44" t="s">
        <v>391</v>
      </c>
      <c r="N40" s="2">
        <v>1</v>
      </c>
      <c r="O40" s="8"/>
      <c r="P40" s="31"/>
      <c r="Q40" s="33">
        <v>0.32</v>
      </c>
      <c r="R40" s="34"/>
      <c r="U40" s="31"/>
      <c r="V40" s="33"/>
    </row>
    <row r="41" spans="2:22" x14ac:dyDescent="0.25">
      <c r="B41" s="81" t="s">
        <v>188</v>
      </c>
      <c r="C41" s="34"/>
      <c r="D41" s="38" t="s">
        <v>210</v>
      </c>
      <c r="F41" s="31"/>
      <c r="G41" s="94"/>
      <c r="H41" s="44"/>
      <c r="I41" s="2">
        <f>3+2+2+2+2+3+2+2+2+2+2+1+1+2+2+2</f>
        <v>32</v>
      </c>
      <c r="J41" s="8"/>
      <c r="K41" s="31"/>
      <c r="L41" s="33">
        <f>I41*5.59</f>
        <v>178.88</v>
      </c>
      <c r="M41" s="44"/>
      <c r="O41" s="8"/>
      <c r="P41" s="36" t="s">
        <v>210</v>
      </c>
      <c r="Q41" s="33"/>
      <c r="R41" s="34"/>
      <c r="U41" s="31" t="s">
        <v>326</v>
      </c>
      <c r="V41" s="33">
        <v>107.54</v>
      </c>
    </row>
    <row r="42" spans="2:22" x14ac:dyDescent="0.25">
      <c r="B42" s="81" t="s">
        <v>131</v>
      </c>
      <c r="C42" s="34"/>
      <c r="F42" s="31" t="s">
        <v>214</v>
      </c>
      <c r="G42" s="94"/>
      <c r="H42" s="44"/>
      <c r="I42" s="2">
        <v>2</v>
      </c>
      <c r="J42" s="8"/>
      <c r="K42" s="31" t="s">
        <v>278</v>
      </c>
      <c r="L42" s="33">
        <f>(46.95)*I42</f>
        <v>93.9</v>
      </c>
      <c r="M42" s="44"/>
      <c r="O42" s="8"/>
      <c r="P42" s="36" t="s">
        <v>282</v>
      </c>
      <c r="Q42" s="33"/>
      <c r="R42" s="34"/>
      <c r="U42" s="31"/>
      <c r="V42" s="33"/>
    </row>
    <row r="43" spans="2:22" x14ac:dyDescent="0.25">
      <c r="B43" s="81"/>
      <c r="C43" s="34"/>
      <c r="F43" s="31"/>
      <c r="G43" s="94"/>
      <c r="H43" s="44"/>
      <c r="I43" s="2">
        <v>2</v>
      </c>
      <c r="J43" s="8"/>
      <c r="K43" s="31" t="s">
        <v>277</v>
      </c>
      <c r="L43" s="33">
        <f>(24.97)*I43</f>
        <v>49.94</v>
      </c>
      <c r="M43" s="44"/>
      <c r="O43" s="8"/>
      <c r="P43" s="36" t="s">
        <v>282</v>
      </c>
      <c r="Q43" s="33"/>
      <c r="R43" s="34"/>
      <c r="S43" s="2">
        <v>2</v>
      </c>
      <c r="U43" s="31" t="s">
        <v>277</v>
      </c>
      <c r="V43" s="33">
        <v>45.54</v>
      </c>
    </row>
    <row r="44" spans="2:22" x14ac:dyDescent="0.25">
      <c r="B44" s="81"/>
      <c r="C44" s="34"/>
      <c r="F44" s="31"/>
      <c r="G44" s="94"/>
      <c r="H44" s="44"/>
      <c r="I44" s="2">
        <v>6</v>
      </c>
      <c r="J44" s="8"/>
      <c r="K44" s="31" t="s">
        <v>279</v>
      </c>
      <c r="L44" s="33">
        <f>39.42*I44</f>
        <v>236.52</v>
      </c>
      <c r="M44" s="44"/>
      <c r="O44" s="8"/>
      <c r="P44" s="36" t="s">
        <v>282</v>
      </c>
      <c r="Q44" s="33"/>
      <c r="R44" s="34"/>
      <c r="S44" s="2">
        <v>2</v>
      </c>
      <c r="U44" s="31" t="s">
        <v>279</v>
      </c>
      <c r="V44" s="33">
        <v>40</v>
      </c>
    </row>
    <row r="45" spans="2:22" x14ac:dyDescent="0.25">
      <c r="B45" s="81"/>
      <c r="C45" s="34"/>
      <c r="F45" s="31"/>
      <c r="G45" s="94"/>
      <c r="H45" s="44"/>
      <c r="I45" s="2">
        <v>1</v>
      </c>
      <c r="J45" s="8"/>
      <c r="K45" s="31" t="s">
        <v>280</v>
      </c>
      <c r="L45" s="33">
        <v>35.700000000000003</v>
      </c>
      <c r="M45" s="44"/>
      <c r="O45" s="8"/>
      <c r="P45" s="36" t="s">
        <v>282</v>
      </c>
      <c r="Q45" s="33"/>
      <c r="R45" s="34"/>
      <c r="S45" s="2">
        <v>1</v>
      </c>
      <c r="U45" s="31" t="s">
        <v>280</v>
      </c>
      <c r="V45" s="33">
        <v>69.2</v>
      </c>
    </row>
    <row r="46" spans="2:22" x14ac:dyDescent="0.25">
      <c r="B46" s="81" t="s">
        <v>211</v>
      </c>
      <c r="C46" s="34"/>
      <c r="D46" s="38" t="s">
        <v>210</v>
      </c>
      <c r="F46" s="36" t="s">
        <v>282</v>
      </c>
      <c r="G46" s="94"/>
      <c r="H46" s="44"/>
      <c r="I46" s="38" t="s">
        <v>210</v>
      </c>
      <c r="K46" s="36" t="s">
        <v>282</v>
      </c>
      <c r="L46" s="33"/>
      <c r="M46" s="44" t="s">
        <v>415</v>
      </c>
      <c r="N46" s="2">
        <v>1</v>
      </c>
      <c r="O46" s="8"/>
      <c r="P46" s="31" t="s">
        <v>416</v>
      </c>
      <c r="Q46" s="33">
        <v>208.36</v>
      </c>
      <c r="R46" s="34" t="s">
        <v>299</v>
      </c>
      <c r="S46" s="2">
        <v>2</v>
      </c>
      <c r="U46" s="31" t="s">
        <v>308</v>
      </c>
      <c r="V46" s="33">
        <f>321.44*S46</f>
        <v>642.88</v>
      </c>
    </row>
    <row r="47" spans="2:22" x14ac:dyDescent="0.25">
      <c r="B47" s="81"/>
      <c r="C47" s="34"/>
      <c r="D47" s="38"/>
      <c r="F47" s="36"/>
      <c r="G47" s="94"/>
      <c r="H47" s="44"/>
      <c r="J47" s="8"/>
      <c r="K47" s="31"/>
      <c r="L47" s="33"/>
      <c r="M47" s="44" t="s">
        <v>417</v>
      </c>
      <c r="N47" s="2">
        <v>1</v>
      </c>
      <c r="O47" s="8"/>
      <c r="P47" s="31" t="s">
        <v>416</v>
      </c>
      <c r="Q47" s="33">
        <v>94.4</v>
      </c>
      <c r="R47" s="34" t="s">
        <v>306</v>
      </c>
      <c r="S47" s="2">
        <v>1</v>
      </c>
      <c r="U47" s="31" t="s">
        <v>307</v>
      </c>
      <c r="V47" s="33">
        <v>227.09</v>
      </c>
    </row>
    <row r="48" spans="2:22" x14ac:dyDescent="0.25">
      <c r="B48" s="82" t="s">
        <v>201</v>
      </c>
      <c r="C48" s="52">
        <v>275</v>
      </c>
      <c r="D48" s="38">
        <v>1</v>
      </c>
      <c r="G48" s="94"/>
      <c r="H48" s="44"/>
      <c r="J48" s="8"/>
      <c r="K48" s="31"/>
      <c r="L48" s="33"/>
      <c r="M48" s="44"/>
      <c r="O48" s="8"/>
      <c r="P48" s="31"/>
      <c r="Q48" s="33"/>
      <c r="R48" s="34"/>
      <c r="V48" s="35"/>
    </row>
    <row r="49" spans="2:22" x14ac:dyDescent="0.25">
      <c r="B49" s="81" t="s">
        <v>226</v>
      </c>
      <c r="C49" s="34"/>
      <c r="F49" s="31" t="s">
        <v>227</v>
      </c>
      <c r="G49" s="94"/>
      <c r="H49" s="44"/>
      <c r="J49" s="8"/>
      <c r="K49" s="31"/>
      <c r="L49" s="33"/>
      <c r="M49" s="44"/>
      <c r="O49" s="8"/>
      <c r="P49" s="31"/>
      <c r="Q49" s="33"/>
      <c r="R49" s="34"/>
      <c r="U49" s="31"/>
      <c r="V49" s="33"/>
    </row>
    <row r="50" spans="2:22" x14ac:dyDescent="0.25">
      <c r="B50" s="81" t="s">
        <v>232</v>
      </c>
      <c r="C50" s="34"/>
      <c r="F50" s="31"/>
      <c r="G50" s="94"/>
      <c r="H50" s="44" t="s">
        <v>233</v>
      </c>
      <c r="I50" s="2">
        <v>1</v>
      </c>
      <c r="J50" s="8"/>
      <c r="K50" s="31" t="s">
        <v>234</v>
      </c>
      <c r="L50" s="33">
        <v>164.81</v>
      </c>
      <c r="M50" s="44"/>
      <c r="O50" s="8"/>
      <c r="P50" s="31"/>
      <c r="Q50" s="33"/>
      <c r="R50" s="34" t="s">
        <v>314</v>
      </c>
      <c r="S50" s="2">
        <v>1</v>
      </c>
      <c r="U50" s="31" t="s">
        <v>234</v>
      </c>
      <c r="V50" s="33">
        <v>252.14</v>
      </c>
    </row>
    <row r="51" spans="2:22" x14ac:dyDescent="0.25">
      <c r="B51" s="81" t="s">
        <v>392</v>
      </c>
      <c r="C51" s="34"/>
      <c r="F51" s="31"/>
      <c r="G51" s="94"/>
      <c r="H51" s="44"/>
      <c r="J51" s="8"/>
      <c r="K51" s="31"/>
      <c r="L51" s="33"/>
      <c r="M51" s="44" t="s">
        <v>393</v>
      </c>
      <c r="N51" s="2">
        <v>1</v>
      </c>
      <c r="O51" s="8"/>
      <c r="P51" s="31" t="s">
        <v>401</v>
      </c>
      <c r="Q51" s="33">
        <v>89.62</v>
      </c>
      <c r="R51" s="34"/>
      <c r="U51" s="31"/>
      <c r="V51" s="33"/>
    </row>
    <row r="52" spans="2:22" x14ac:dyDescent="0.25">
      <c r="B52" s="81"/>
      <c r="C52" s="34"/>
      <c r="F52" s="31"/>
      <c r="G52" s="94"/>
      <c r="H52" s="44"/>
      <c r="J52" s="8"/>
      <c r="K52" s="31"/>
      <c r="L52" s="33"/>
      <c r="M52" s="44" t="s">
        <v>394</v>
      </c>
      <c r="N52" s="2">
        <v>1</v>
      </c>
      <c r="O52" s="8"/>
      <c r="P52" s="31" t="s">
        <v>401</v>
      </c>
      <c r="Q52" s="33">
        <v>76.739999999999995</v>
      </c>
      <c r="R52" s="34"/>
      <c r="U52" s="31"/>
      <c r="V52" s="33"/>
    </row>
    <row r="53" spans="2:22" x14ac:dyDescent="0.25">
      <c r="B53" s="81"/>
      <c r="C53" s="34"/>
      <c r="F53" s="31"/>
      <c r="G53" s="94"/>
      <c r="H53" s="44"/>
      <c r="J53" s="8"/>
      <c r="K53" s="31"/>
      <c r="L53" s="33"/>
      <c r="M53" s="44" t="s">
        <v>395</v>
      </c>
      <c r="N53" s="2">
        <v>1</v>
      </c>
      <c r="O53" s="8"/>
      <c r="P53" s="31" t="s">
        <v>401</v>
      </c>
      <c r="Q53" s="33">
        <v>140.72999999999999</v>
      </c>
      <c r="R53" s="34"/>
      <c r="U53" s="31"/>
      <c r="V53" s="33"/>
    </row>
    <row r="54" spans="2:22" x14ac:dyDescent="0.25">
      <c r="B54" s="81"/>
      <c r="C54" s="34"/>
      <c r="F54" s="31"/>
      <c r="G54" s="94"/>
      <c r="H54" s="44"/>
      <c r="J54" s="8"/>
      <c r="K54" s="31"/>
      <c r="L54" s="33"/>
      <c r="M54" s="44" t="s">
        <v>396</v>
      </c>
      <c r="N54" s="2">
        <v>1</v>
      </c>
      <c r="O54" s="8"/>
      <c r="P54" s="31" t="s">
        <v>401</v>
      </c>
      <c r="Q54" s="33">
        <v>102.42</v>
      </c>
      <c r="R54" s="34"/>
      <c r="U54" s="31"/>
      <c r="V54" s="33"/>
    </row>
    <row r="55" spans="2:22" x14ac:dyDescent="0.25">
      <c r="B55" s="81"/>
      <c r="C55" s="34"/>
      <c r="F55" s="31"/>
      <c r="G55" s="94"/>
      <c r="H55" s="44"/>
      <c r="J55" s="8"/>
      <c r="K55" s="31"/>
      <c r="L55" s="33"/>
      <c r="M55" s="44" t="s">
        <v>397</v>
      </c>
      <c r="N55" s="2">
        <v>1</v>
      </c>
      <c r="O55" s="8"/>
      <c r="P55" s="31" t="s">
        <v>401</v>
      </c>
      <c r="Q55" s="33">
        <v>153.68</v>
      </c>
      <c r="R55" s="34"/>
      <c r="U55" s="31"/>
      <c r="V55" s="33"/>
    </row>
    <row r="56" spans="2:22" x14ac:dyDescent="0.25">
      <c r="B56" s="81"/>
      <c r="C56" s="34"/>
      <c r="F56" s="31"/>
      <c r="G56" s="94"/>
      <c r="H56" s="44"/>
      <c r="J56" s="8"/>
      <c r="K56" s="31"/>
      <c r="L56" s="33"/>
      <c r="M56" s="44" t="s">
        <v>398</v>
      </c>
      <c r="N56" s="2">
        <v>1</v>
      </c>
      <c r="O56" s="8"/>
      <c r="P56" s="31" t="s">
        <v>401</v>
      </c>
      <c r="Q56" s="33">
        <v>76.84</v>
      </c>
      <c r="R56" s="34"/>
      <c r="U56" s="31"/>
      <c r="V56" s="33"/>
    </row>
    <row r="57" spans="2:22" x14ac:dyDescent="0.25">
      <c r="B57" s="81"/>
      <c r="C57" s="34"/>
      <c r="F57" s="31"/>
      <c r="G57" s="94"/>
      <c r="H57" s="44"/>
      <c r="J57" s="8"/>
      <c r="K57" s="31"/>
      <c r="L57" s="33"/>
      <c r="M57" s="44" t="s">
        <v>399</v>
      </c>
      <c r="N57" s="2">
        <v>1</v>
      </c>
      <c r="O57" s="8"/>
      <c r="P57" s="31" t="s">
        <v>401</v>
      </c>
      <c r="Q57" s="33">
        <v>89.62</v>
      </c>
      <c r="R57" s="34"/>
      <c r="U57" s="31"/>
      <c r="V57" s="33"/>
    </row>
    <row r="58" spans="2:22" x14ac:dyDescent="0.25">
      <c r="B58" s="81"/>
      <c r="C58" s="34"/>
      <c r="F58" s="31"/>
      <c r="G58" s="94"/>
      <c r="H58" s="44"/>
      <c r="J58" s="8"/>
      <c r="K58" s="31"/>
      <c r="L58" s="33"/>
      <c r="M58" s="44" t="s">
        <v>400</v>
      </c>
      <c r="N58" s="2">
        <v>1</v>
      </c>
      <c r="O58" s="8"/>
      <c r="P58" s="31" t="s">
        <v>401</v>
      </c>
      <c r="Q58" s="33">
        <v>294.20999999999998</v>
      </c>
      <c r="R58" s="34"/>
      <c r="U58" s="31"/>
      <c r="V58" s="33"/>
    </row>
    <row r="59" spans="2:22" x14ac:dyDescent="0.25">
      <c r="B59" s="82" t="s">
        <v>382</v>
      </c>
      <c r="C59" s="34" t="s">
        <v>191</v>
      </c>
      <c r="D59" s="38">
        <v>2</v>
      </c>
      <c r="F59" s="31"/>
      <c r="G59" s="94"/>
      <c r="H59" s="44" t="s">
        <v>236</v>
      </c>
      <c r="I59" s="2">
        <v>2</v>
      </c>
      <c r="J59" s="8"/>
      <c r="K59" s="31" t="s">
        <v>235</v>
      </c>
      <c r="L59" s="33">
        <f>(61.93+63.93)*I59</f>
        <v>251.72</v>
      </c>
      <c r="M59" s="44" t="s">
        <v>383</v>
      </c>
      <c r="N59" s="2">
        <v>1</v>
      </c>
      <c r="O59" s="8"/>
      <c r="P59" s="31" t="s">
        <v>384</v>
      </c>
      <c r="Q59" s="33">
        <v>202.05</v>
      </c>
      <c r="R59" s="34" t="s">
        <v>293</v>
      </c>
      <c r="S59" s="2">
        <v>2</v>
      </c>
      <c r="U59" s="31" t="s">
        <v>289</v>
      </c>
      <c r="V59" s="33">
        <f>379.88*S59</f>
        <v>759.76</v>
      </c>
    </row>
    <row r="60" spans="2:22" x14ac:dyDescent="0.25">
      <c r="B60" s="81"/>
      <c r="C60" s="34" t="s">
        <v>192</v>
      </c>
      <c r="D60" s="38">
        <v>1</v>
      </c>
      <c r="F60" s="31"/>
      <c r="G60" s="94"/>
      <c r="H60" s="44" t="s">
        <v>249</v>
      </c>
      <c r="I60" s="2">
        <v>1</v>
      </c>
      <c r="J60" s="8"/>
      <c r="K60" s="31" t="s">
        <v>255</v>
      </c>
      <c r="L60" s="33">
        <f>61.93+7.73</f>
        <v>69.66</v>
      </c>
      <c r="M60" s="44" t="s">
        <v>385</v>
      </c>
      <c r="N60" s="2">
        <v>2</v>
      </c>
      <c r="O60" s="8"/>
      <c r="P60" s="31" t="s">
        <v>386</v>
      </c>
      <c r="Q60" s="33">
        <v>272.32</v>
      </c>
      <c r="R60" s="34" t="s">
        <v>292</v>
      </c>
      <c r="S60" s="2">
        <v>1</v>
      </c>
      <c r="U60" s="31" t="s">
        <v>298</v>
      </c>
      <c r="V60" s="33">
        <v>344.81</v>
      </c>
    </row>
    <row r="61" spans="2:22" x14ac:dyDescent="0.25">
      <c r="B61" s="81"/>
      <c r="C61" s="34" t="s">
        <v>194</v>
      </c>
      <c r="D61" s="38">
        <v>1</v>
      </c>
      <c r="F61" s="31"/>
      <c r="G61" s="94"/>
      <c r="H61" s="44" t="s">
        <v>253</v>
      </c>
      <c r="I61" s="2">
        <v>1</v>
      </c>
      <c r="J61" s="8"/>
      <c r="K61" s="31" t="s">
        <v>254</v>
      </c>
      <c r="L61" s="33">
        <f>61.93+95.98</f>
        <v>157.91</v>
      </c>
      <c r="M61" s="34"/>
      <c r="O61" s="8"/>
      <c r="P61" s="31"/>
      <c r="Q61" s="33"/>
      <c r="R61" s="34" t="s">
        <v>296</v>
      </c>
      <c r="S61" s="2">
        <v>1</v>
      </c>
      <c r="U61" s="31" t="s">
        <v>297</v>
      </c>
      <c r="V61" s="33">
        <v>198.71</v>
      </c>
    </row>
    <row r="62" spans="2:22" x14ac:dyDescent="0.25">
      <c r="B62" s="81"/>
      <c r="C62" s="34" t="s">
        <v>195</v>
      </c>
      <c r="D62" s="38">
        <v>1</v>
      </c>
      <c r="F62" s="31"/>
      <c r="G62" s="94"/>
      <c r="H62" s="44" t="s">
        <v>260</v>
      </c>
      <c r="I62" s="2">
        <v>1</v>
      </c>
      <c r="J62" s="8"/>
      <c r="K62" s="31" t="s">
        <v>261</v>
      </c>
      <c r="L62" s="33">
        <f>61.93+112.32</f>
        <v>174.25</v>
      </c>
      <c r="M62" s="44"/>
      <c r="O62" s="8"/>
      <c r="P62" s="31"/>
      <c r="Q62" s="33"/>
      <c r="R62" s="34" t="s">
        <v>303</v>
      </c>
      <c r="S62" s="2">
        <v>1</v>
      </c>
      <c r="U62" s="31" t="s">
        <v>302</v>
      </c>
      <c r="V62" s="33">
        <v>117.72</v>
      </c>
    </row>
    <row r="63" spans="2:22" x14ac:dyDescent="0.25">
      <c r="B63" s="81"/>
      <c r="C63" s="34" t="s">
        <v>196</v>
      </c>
      <c r="D63" s="38">
        <v>1</v>
      </c>
      <c r="F63" s="31"/>
      <c r="G63" s="94"/>
      <c r="H63" s="44"/>
      <c r="J63" s="8"/>
      <c r="K63" s="31"/>
      <c r="L63" s="33"/>
      <c r="M63" s="44"/>
      <c r="O63" s="8"/>
      <c r="P63" s="31"/>
      <c r="Q63" s="33"/>
      <c r="R63" s="34" t="s">
        <v>305</v>
      </c>
      <c r="S63" s="2">
        <v>1</v>
      </c>
      <c r="U63" s="31" t="s">
        <v>304</v>
      </c>
      <c r="V63" s="33">
        <v>232.1</v>
      </c>
    </row>
    <row r="64" spans="2:22" x14ac:dyDescent="0.25">
      <c r="B64" s="81"/>
      <c r="C64" s="34" t="s">
        <v>197</v>
      </c>
      <c r="D64" s="38">
        <v>1</v>
      </c>
      <c r="F64" s="31"/>
      <c r="G64" s="94"/>
      <c r="H64" s="44"/>
      <c r="J64" s="8"/>
      <c r="K64" s="31"/>
      <c r="L64" s="33"/>
      <c r="M64" s="44"/>
      <c r="O64" s="8"/>
      <c r="P64" s="31"/>
      <c r="Q64" s="33"/>
      <c r="R64" s="34" t="s">
        <v>313</v>
      </c>
      <c r="S64" s="2">
        <v>1</v>
      </c>
      <c r="U64" s="31" t="s">
        <v>304</v>
      </c>
      <c r="V64" s="33">
        <v>153.62</v>
      </c>
    </row>
    <row r="65" spans="2:22" x14ac:dyDescent="0.25">
      <c r="B65" s="81"/>
      <c r="C65" s="34"/>
      <c r="D65" s="38"/>
      <c r="F65" s="31"/>
      <c r="G65" s="94"/>
      <c r="H65" s="44"/>
      <c r="J65" s="8"/>
      <c r="K65" s="31"/>
      <c r="L65" s="33"/>
      <c r="M65" s="44"/>
      <c r="O65" s="8"/>
      <c r="P65" s="31"/>
      <c r="Q65" s="33"/>
      <c r="R65" s="34" t="s">
        <v>318</v>
      </c>
      <c r="S65" s="2">
        <v>1</v>
      </c>
      <c r="U65" s="31" t="s">
        <v>304</v>
      </c>
      <c r="V65" s="33">
        <v>278.86</v>
      </c>
    </row>
    <row r="66" spans="2:22" x14ac:dyDescent="0.25">
      <c r="B66" s="81" t="s">
        <v>151</v>
      </c>
      <c r="C66" s="34" t="s">
        <v>152</v>
      </c>
      <c r="D66" s="2">
        <v>1</v>
      </c>
      <c r="F66" s="31"/>
      <c r="G66" s="94"/>
      <c r="H66" s="44" t="s">
        <v>247</v>
      </c>
      <c r="I66" s="2">
        <v>1</v>
      </c>
      <c r="J66" s="8"/>
      <c r="K66" s="31" t="s">
        <v>248</v>
      </c>
      <c r="L66" s="33">
        <v>84.9</v>
      </c>
      <c r="M66" s="44" t="s">
        <v>363</v>
      </c>
      <c r="N66" s="2">
        <v>1</v>
      </c>
      <c r="O66" s="8"/>
      <c r="P66" s="31" t="s">
        <v>364</v>
      </c>
      <c r="Q66" s="33">
        <v>179.71</v>
      </c>
      <c r="R66" s="34" t="s">
        <v>285</v>
      </c>
      <c r="S66" s="2">
        <v>1</v>
      </c>
      <c r="U66" s="31" t="s">
        <v>286</v>
      </c>
      <c r="V66" s="33">
        <v>191.19</v>
      </c>
    </row>
    <row r="67" spans="2:22" x14ac:dyDescent="0.25">
      <c r="B67" s="81"/>
      <c r="C67" s="34" t="s">
        <v>168</v>
      </c>
      <c r="D67" s="2">
        <v>1</v>
      </c>
      <c r="F67" s="31"/>
      <c r="G67" s="94"/>
      <c r="H67" s="44"/>
      <c r="J67" s="8"/>
      <c r="K67" s="31"/>
      <c r="L67" s="33"/>
      <c r="M67" s="44" t="s">
        <v>371</v>
      </c>
      <c r="N67" s="2">
        <v>1</v>
      </c>
      <c r="O67" s="8"/>
      <c r="P67" s="31" t="s">
        <v>364</v>
      </c>
      <c r="Q67" s="33">
        <v>179.71</v>
      </c>
      <c r="R67" s="34"/>
      <c r="U67" s="31"/>
      <c r="V67" s="33"/>
    </row>
    <row r="68" spans="2:22" x14ac:dyDescent="0.25">
      <c r="B68" s="81"/>
      <c r="C68" s="34" t="s">
        <v>176</v>
      </c>
      <c r="D68" s="2">
        <v>2</v>
      </c>
      <c r="F68" s="31"/>
      <c r="G68" s="94"/>
      <c r="H68" s="44"/>
      <c r="J68" s="8"/>
      <c r="K68" s="31"/>
      <c r="L68" s="33"/>
      <c r="M68" s="44"/>
      <c r="O68" s="8"/>
      <c r="P68" s="31"/>
      <c r="Q68" s="33"/>
      <c r="R68" s="34"/>
      <c r="U68" s="31"/>
      <c r="V68" s="33"/>
    </row>
    <row r="69" spans="2:22" x14ac:dyDescent="0.25">
      <c r="B69" s="82" t="s">
        <v>155</v>
      </c>
      <c r="C69" s="34" t="s">
        <v>156</v>
      </c>
      <c r="D69" s="2">
        <v>2</v>
      </c>
      <c r="F69" s="31" t="s">
        <v>157</v>
      </c>
      <c r="G69" s="94"/>
      <c r="H69" s="44"/>
      <c r="J69" s="8"/>
      <c r="K69" s="31"/>
      <c r="L69" s="33"/>
      <c r="M69" s="44"/>
      <c r="O69" s="8"/>
      <c r="P69" s="31"/>
      <c r="Q69" s="33"/>
      <c r="R69" s="34"/>
      <c r="U69" s="31"/>
      <c r="V69" s="33"/>
    </row>
    <row r="70" spans="2:22" x14ac:dyDescent="0.25">
      <c r="B70" s="81"/>
      <c r="C70" s="34" t="s">
        <v>177</v>
      </c>
      <c r="D70" s="2">
        <v>1</v>
      </c>
      <c r="F70" s="31" t="s">
        <v>167</v>
      </c>
      <c r="G70" s="94"/>
      <c r="H70" s="44"/>
      <c r="J70" s="8"/>
      <c r="K70" s="31"/>
      <c r="L70" s="33"/>
      <c r="M70" s="44"/>
      <c r="O70" s="8"/>
      <c r="P70" s="31"/>
      <c r="Q70" s="33"/>
      <c r="R70" s="34"/>
      <c r="U70" s="31"/>
      <c r="V70" s="33"/>
    </row>
    <row r="71" spans="2:22" x14ac:dyDescent="0.25">
      <c r="B71" s="81"/>
      <c r="C71" s="34" t="s">
        <v>175</v>
      </c>
      <c r="D71" s="2">
        <v>1</v>
      </c>
      <c r="F71" s="31" t="s">
        <v>157</v>
      </c>
      <c r="G71" s="94"/>
      <c r="H71" s="44"/>
      <c r="J71" s="8"/>
      <c r="K71" s="31"/>
      <c r="L71" s="33"/>
      <c r="M71" s="44"/>
      <c r="O71" s="8"/>
      <c r="P71" s="31"/>
      <c r="Q71" s="33"/>
      <c r="R71" s="34"/>
      <c r="U71" s="31"/>
      <c r="V71" s="33"/>
    </row>
    <row r="72" spans="2:22" x14ac:dyDescent="0.25">
      <c r="B72" s="81"/>
      <c r="C72" s="34" t="s">
        <v>178</v>
      </c>
      <c r="D72" s="2">
        <v>1</v>
      </c>
      <c r="F72" s="31"/>
      <c r="G72" s="94"/>
      <c r="H72" s="44"/>
      <c r="J72" s="8"/>
      <c r="K72" s="31"/>
      <c r="L72" s="33"/>
      <c r="M72" s="44"/>
      <c r="O72" s="8"/>
      <c r="P72" s="31"/>
      <c r="Q72" s="33"/>
      <c r="R72" s="34"/>
      <c r="U72" s="31"/>
      <c r="V72" s="33"/>
    </row>
    <row r="73" spans="2:22" x14ac:dyDescent="0.25">
      <c r="B73" s="81"/>
      <c r="C73" s="34">
        <v>61</v>
      </c>
      <c r="D73" s="2">
        <v>1</v>
      </c>
      <c r="F73" s="31"/>
      <c r="G73" s="94"/>
      <c r="H73" s="44"/>
      <c r="J73" s="8"/>
      <c r="K73" s="31"/>
      <c r="L73" s="33"/>
      <c r="M73" s="44"/>
      <c r="O73" s="8"/>
      <c r="P73" s="31"/>
      <c r="Q73" s="33"/>
      <c r="R73" s="34"/>
      <c r="U73" s="31"/>
      <c r="V73" s="33"/>
    </row>
    <row r="74" spans="2:22" x14ac:dyDescent="0.25">
      <c r="B74" s="81" t="s">
        <v>339</v>
      </c>
      <c r="C74" s="34"/>
      <c r="F74" s="31" t="s">
        <v>350</v>
      </c>
      <c r="G74" s="94"/>
      <c r="H74" s="44"/>
      <c r="J74" s="8"/>
      <c r="K74" s="31"/>
      <c r="L74" s="33"/>
      <c r="M74" s="44"/>
      <c r="O74" s="8"/>
      <c r="P74" s="31"/>
      <c r="Q74" s="33"/>
      <c r="R74" s="34"/>
      <c r="S74" s="2">
        <v>1</v>
      </c>
      <c r="U74" s="31" t="s">
        <v>340</v>
      </c>
      <c r="V74" s="33">
        <v>124</v>
      </c>
    </row>
    <row r="75" spans="2:22" x14ac:dyDescent="0.25">
      <c r="B75" s="81"/>
      <c r="C75" s="34"/>
      <c r="F75" s="31"/>
      <c r="G75" s="33"/>
      <c r="H75" s="44"/>
      <c r="J75" s="8"/>
      <c r="K75" s="31"/>
      <c r="L75" s="33"/>
      <c r="M75" s="44" t="s">
        <v>403</v>
      </c>
      <c r="N75" s="2">
        <v>1</v>
      </c>
      <c r="O75" s="8"/>
      <c r="P75" s="31" t="s">
        <v>404</v>
      </c>
      <c r="Q75" s="33">
        <v>52.38</v>
      </c>
      <c r="R75" s="34"/>
      <c r="S75" s="2">
        <v>1</v>
      </c>
      <c r="U75" s="36" t="s">
        <v>343</v>
      </c>
      <c r="V75" s="33">
        <v>101.56</v>
      </c>
    </row>
    <row r="76" spans="2:22" x14ac:dyDescent="0.25">
      <c r="B76" s="81"/>
      <c r="C76" s="34"/>
      <c r="F76" s="31"/>
      <c r="G76" s="33"/>
      <c r="H76" s="44"/>
      <c r="J76" s="8"/>
      <c r="K76" s="31"/>
      <c r="L76" s="33"/>
      <c r="M76" s="44" t="s">
        <v>403</v>
      </c>
      <c r="N76" s="2">
        <v>1</v>
      </c>
      <c r="O76" s="8"/>
      <c r="P76" s="31" t="s">
        <v>402</v>
      </c>
      <c r="Q76" s="33">
        <v>42.2</v>
      </c>
      <c r="R76" s="34" t="s">
        <v>341</v>
      </c>
      <c r="S76" s="2">
        <v>1</v>
      </c>
      <c r="U76" s="31" t="s">
        <v>342</v>
      </c>
      <c r="V76" s="33">
        <v>34</v>
      </c>
    </row>
    <row r="77" spans="2:22" x14ac:dyDescent="0.25">
      <c r="B77" s="81"/>
      <c r="C77" s="34"/>
      <c r="F77" s="31"/>
      <c r="G77" s="33"/>
      <c r="H77" s="44"/>
      <c r="J77" s="8"/>
      <c r="K77" s="31"/>
      <c r="L77" s="33"/>
      <c r="M77" s="44"/>
      <c r="O77" s="8"/>
      <c r="P77" s="31"/>
      <c r="Q77" s="33"/>
      <c r="R77" s="34" t="s">
        <v>345</v>
      </c>
      <c r="S77" s="2">
        <v>1</v>
      </c>
      <c r="U77" s="31" t="s">
        <v>344</v>
      </c>
      <c r="V77" s="33">
        <v>16.600000000000001</v>
      </c>
    </row>
    <row r="78" spans="2:22" x14ac:dyDescent="0.25">
      <c r="B78" s="81" t="s">
        <v>218</v>
      </c>
      <c r="C78" s="34"/>
      <c r="D78" s="38" t="s">
        <v>215</v>
      </c>
      <c r="F78" s="31"/>
      <c r="G78" s="37"/>
      <c r="H78" s="44" t="s">
        <v>275</v>
      </c>
      <c r="I78" s="2">
        <v>1</v>
      </c>
      <c r="J78" s="8"/>
      <c r="K78" s="36" t="s">
        <v>321</v>
      </c>
      <c r="L78" s="33">
        <v>846.02</v>
      </c>
      <c r="M78" s="44"/>
      <c r="O78" s="8"/>
      <c r="P78" s="31"/>
      <c r="Q78" s="33"/>
      <c r="R78" s="34"/>
      <c r="S78" s="2">
        <v>1</v>
      </c>
      <c r="U78" s="31" t="s">
        <v>320</v>
      </c>
      <c r="V78" s="33">
        <v>287</v>
      </c>
    </row>
    <row r="79" spans="2:22" ht="15.75" thickBot="1" x14ac:dyDescent="0.3">
      <c r="B79" s="83"/>
      <c r="C79" s="39"/>
      <c r="D79" s="40"/>
      <c r="E79" s="40"/>
      <c r="F79" s="60" t="s">
        <v>274</v>
      </c>
      <c r="G79" s="61">
        <v>19525.07</v>
      </c>
      <c r="H79" s="62"/>
      <c r="I79" s="40"/>
      <c r="J79" s="63"/>
      <c r="K79" s="60" t="s">
        <v>274</v>
      </c>
      <c r="L79" s="61">
        <f>SUM(L6:L78)</f>
        <v>15456.429999999998</v>
      </c>
      <c r="M79" s="62"/>
      <c r="N79" s="40"/>
      <c r="O79" s="63"/>
      <c r="P79" s="60" t="s">
        <v>274</v>
      </c>
      <c r="Q79" s="61">
        <f>SUM(Q6:Q78)</f>
        <v>12709.969999999998</v>
      </c>
      <c r="R79" s="39"/>
      <c r="S79" s="40"/>
      <c r="T79" s="41"/>
      <c r="U79" s="60" t="s">
        <v>274</v>
      </c>
      <c r="V79" s="61">
        <f>SUM(V6:V78)</f>
        <v>14034.9</v>
      </c>
    </row>
    <row r="80" spans="2:22" x14ac:dyDescent="0.25">
      <c r="B80" s="53" t="s">
        <v>217</v>
      </c>
      <c r="C80" s="64"/>
      <c r="D80" s="65" t="s">
        <v>215</v>
      </c>
      <c r="E80" s="55"/>
      <c r="F80" s="66" t="s">
        <v>284</v>
      </c>
      <c r="G80" s="67"/>
      <c r="H80" s="68"/>
      <c r="I80" s="65" t="s">
        <v>215</v>
      </c>
      <c r="J80" s="55"/>
      <c r="K80" s="66" t="s">
        <v>284</v>
      </c>
      <c r="L80" s="67"/>
      <c r="M80" s="68"/>
      <c r="N80" s="65" t="s">
        <v>215</v>
      </c>
      <c r="O80" s="69"/>
      <c r="P80" s="66" t="s">
        <v>284</v>
      </c>
      <c r="Q80" s="57"/>
      <c r="R80" s="64"/>
      <c r="S80" s="65" t="s">
        <v>215</v>
      </c>
      <c r="T80" s="70"/>
      <c r="U80" s="66" t="s">
        <v>284</v>
      </c>
      <c r="V80" s="67"/>
    </row>
    <row r="81" spans="2:22" ht="15.75" thickBot="1" x14ac:dyDescent="0.3">
      <c r="B81" s="59" t="s">
        <v>202</v>
      </c>
      <c r="C81" s="39"/>
      <c r="D81" s="75">
        <v>1</v>
      </c>
      <c r="E81" s="40">
        <v>1</v>
      </c>
      <c r="F81" s="73" t="s">
        <v>208</v>
      </c>
      <c r="G81" s="61">
        <v>44.32</v>
      </c>
      <c r="H81" s="62"/>
      <c r="I81" s="40">
        <v>1</v>
      </c>
      <c r="J81" s="63"/>
      <c r="K81" s="73" t="s">
        <v>281</v>
      </c>
      <c r="L81" s="61">
        <v>110.28</v>
      </c>
      <c r="M81" s="62"/>
      <c r="N81" s="76" t="s">
        <v>421</v>
      </c>
      <c r="O81" s="63"/>
      <c r="P81" s="73" t="s">
        <v>357</v>
      </c>
      <c r="Q81" s="74">
        <v>249.96</v>
      </c>
      <c r="R81" s="39"/>
      <c r="S81" s="40"/>
      <c r="T81" s="41"/>
      <c r="U81" s="73"/>
      <c r="V81" s="61"/>
    </row>
    <row r="82" spans="2:22" x14ac:dyDescent="0.25">
      <c r="B82" s="58" t="s">
        <v>130</v>
      </c>
      <c r="C82" s="34"/>
      <c r="F82" s="31" t="s">
        <v>205</v>
      </c>
      <c r="G82" s="33">
        <v>2188.37</v>
      </c>
      <c r="H82" s="44"/>
      <c r="J82" s="8"/>
      <c r="K82" s="31" t="s">
        <v>271</v>
      </c>
      <c r="L82" s="33">
        <v>2539.9899999999998</v>
      </c>
      <c r="M82" s="44"/>
      <c r="O82" s="8"/>
      <c r="P82" s="31" t="s">
        <v>360</v>
      </c>
      <c r="Q82" s="33">
        <v>1200</v>
      </c>
      <c r="R82" s="34"/>
      <c r="U82" s="31" t="s">
        <v>332</v>
      </c>
      <c r="V82" s="33">
        <v>2268</v>
      </c>
    </row>
    <row r="83" spans="2:22" x14ac:dyDescent="0.25">
      <c r="B83" s="58"/>
      <c r="C83" s="34"/>
      <c r="F83" s="31" t="s">
        <v>203</v>
      </c>
      <c r="G83" s="33">
        <v>645</v>
      </c>
      <c r="H83" s="44"/>
      <c r="J83" s="8"/>
      <c r="K83" s="31" t="s">
        <v>269</v>
      </c>
      <c r="L83" s="33">
        <v>700</v>
      </c>
      <c r="M83" s="44"/>
      <c r="O83" s="8"/>
      <c r="P83" s="31" t="s">
        <v>358</v>
      </c>
      <c r="Q83" s="33">
        <v>930</v>
      </c>
      <c r="R83" s="34"/>
      <c r="U83" s="31" t="s">
        <v>333</v>
      </c>
      <c r="V83" s="33">
        <v>1079.99</v>
      </c>
    </row>
    <row r="84" spans="2:22" x14ac:dyDescent="0.25">
      <c r="B84" s="58"/>
      <c r="C84" s="34"/>
      <c r="F84" s="31" t="s">
        <v>336</v>
      </c>
      <c r="G84" s="33">
        <v>715</v>
      </c>
      <c r="H84" s="44"/>
      <c r="J84" s="8"/>
      <c r="K84" s="31" t="s">
        <v>335</v>
      </c>
      <c r="L84" s="33">
        <v>820</v>
      </c>
      <c r="M84" s="44"/>
      <c r="O84" s="8"/>
      <c r="P84" s="31" t="s">
        <v>334</v>
      </c>
      <c r="Q84" s="33">
        <v>1400</v>
      </c>
      <c r="R84" s="34"/>
      <c r="U84" s="31" t="s">
        <v>334</v>
      </c>
      <c r="V84" s="33">
        <v>1649.99</v>
      </c>
    </row>
    <row r="85" spans="2:22" x14ac:dyDescent="0.25">
      <c r="B85" s="58"/>
      <c r="C85" s="34"/>
      <c r="F85" s="31" t="s">
        <v>204</v>
      </c>
      <c r="G85" s="33">
        <v>480</v>
      </c>
      <c r="H85" s="44"/>
      <c r="J85" s="8"/>
      <c r="K85" s="31" t="s">
        <v>270</v>
      </c>
      <c r="L85" s="33">
        <v>439.99</v>
      </c>
      <c r="M85" s="44"/>
      <c r="O85" s="8"/>
      <c r="P85" s="31" t="s">
        <v>337</v>
      </c>
      <c r="Q85" s="33">
        <v>460</v>
      </c>
      <c r="R85" s="34"/>
      <c r="U85" s="31" t="s">
        <v>337</v>
      </c>
      <c r="V85" s="33">
        <v>929.99</v>
      </c>
    </row>
    <row r="86" spans="2:22" x14ac:dyDescent="0.25">
      <c r="B86" s="58"/>
      <c r="C86" s="34"/>
      <c r="F86" s="31"/>
      <c r="G86" s="33"/>
      <c r="H86" s="44"/>
      <c r="J86" s="8"/>
      <c r="K86" s="31"/>
      <c r="L86" s="33"/>
      <c r="M86" s="44"/>
      <c r="O86" s="8"/>
      <c r="P86" s="31" t="s">
        <v>359</v>
      </c>
      <c r="Q86" s="33">
        <v>889.99</v>
      </c>
      <c r="R86" s="34"/>
      <c r="U86" s="31"/>
      <c r="V86" s="33"/>
    </row>
    <row r="87" spans="2:22" ht="15.75" thickBot="1" x14ac:dyDescent="0.3">
      <c r="B87" s="59"/>
      <c r="C87" s="39"/>
      <c r="D87" s="40"/>
      <c r="E87" s="40"/>
      <c r="F87" s="60" t="s">
        <v>222</v>
      </c>
      <c r="G87" s="61">
        <f>SUM(G82:G85)</f>
        <v>4028.37</v>
      </c>
      <c r="H87" s="62"/>
      <c r="I87" s="40"/>
      <c r="J87" s="63"/>
      <c r="K87" s="60" t="s">
        <v>222</v>
      </c>
      <c r="L87" s="61">
        <f>SUM(L82:L85)</f>
        <v>4499.9799999999996</v>
      </c>
      <c r="M87" s="62"/>
      <c r="N87" s="40"/>
      <c r="O87" s="63"/>
      <c r="P87" s="60" t="s">
        <v>222</v>
      </c>
      <c r="Q87" s="61">
        <f>SUM(Q82:Q86)</f>
        <v>4879.99</v>
      </c>
      <c r="R87" s="39"/>
      <c r="S87" s="40"/>
      <c r="T87" s="41"/>
      <c r="U87" s="60" t="s">
        <v>222</v>
      </c>
      <c r="V87" s="61">
        <f>SUM(V82:V85)</f>
        <v>5927.9699999999993</v>
      </c>
    </row>
    <row r="88" spans="2:22" x14ac:dyDescent="0.25">
      <c r="B88" s="53" t="s">
        <v>206</v>
      </c>
      <c r="C88" s="64"/>
      <c r="D88" s="55"/>
      <c r="E88" s="55"/>
      <c r="F88" s="56" t="s">
        <v>354</v>
      </c>
      <c r="G88" s="57">
        <v>878.9</v>
      </c>
      <c r="H88" s="71"/>
      <c r="I88" s="55"/>
      <c r="J88" s="72"/>
      <c r="K88" s="56" t="s">
        <v>423</v>
      </c>
      <c r="L88" s="57">
        <v>636.9</v>
      </c>
      <c r="M88" s="71"/>
      <c r="N88" s="55"/>
      <c r="O88" s="72"/>
      <c r="P88" s="56" t="s">
        <v>362</v>
      </c>
      <c r="Q88" s="95">
        <v>578</v>
      </c>
      <c r="R88" s="64"/>
      <c r="S88" s="55"/>
      <c r="T88" s="70"/>
      <c r="U88" s="56" t="s">
        <v>355</v>
      </c>
      <c r="V88" s="57">
        <v>1024.0999999999999</v>
      </c>
    </row>
    <row r="89" spans="2:22" x14ac:dyDescent="0.25">
      <c r="B89" s="58"/>
      <c r="C89" s="34"/>
      <c r="F89" s="31" t="s">
        <v>424</v>
      </c>
      <c r="G89" s="33"/>
      <c r="H89" s="44"/>
      <c r="J89" s="8"/>
      <c r="K89" s="31" t="s">
        <v>424</v>
      </c>
      <c r="L89" s="33"/>
      <c r="M89" s="44"/>
      <c r="O89" s="8"/>
      <c r="P89" s="31" t="s">
        <v>425</v>
      </c>
      <c r="Q89" s="94"/>
      <c r="R89" s="34"/>
      <c r="U89" s="31" t="s">
        <v>426</v>
      </c>
      <c r="V89" s="33"/>
    </row>
    <row r="90" spans="2:22" x14ac:dyDescent="0.25">
      <c r="B90" s="58" t="s">
        <v>207</v>
      </c>
      <c r="C90" s="34"/>
      <c r="F90" s="31" t="s">
        <v>349</v>
      </c>
      <c r="G90" s="33">
        <v>430.1</v>
      </c>
      <c r="H90" s="44"/>
      <c r="J90" s="8"/>
      <c r="K90" s="31" t="s">
        <v>276</v>
      </c>
      <c r="L90" s="33">
        <v>326.7</v>
      </c>
      <c r="M90" s="44"/>
      <c r="O90" s="8"/>
      <c r="P90" s="31" t="s">
        <v>361</v>
      </c>
      <c r="Q90" s="94"/>
      <c r="R90" s="34"/>
      <c r="U90" s="31" t="s">
        <v>338</v>
      </c>
      <c r="V90" s="33">
        <v>621.5</v>
      </c>
    </row>
    <row r="91" spans="2:22" ht="15.75" thickBot="1" x14ac:dyDescent="0.3">
      <c r="B91" s="59"/>
      <c r="C91" s="39"/>
      <c r="D91" s="40"/>
      <c r="E91" s="40"/>
      <c r="F91" s="60" t="s">
        <v>223</v>
      </c>
      <c r="G91" s="61">
        <f>SUM(G88:G90)</f>
        <v>1309</v>
      </c>
      <c r="H91" s="62"/>
      <c r="I91" s="40"/>
      <c r="J91" s="63"/>
      <c r="K91" s="60" t="s">
        <v>223</v>
      </c>
      <c r="L91" s="61">
        <f>SUM(L88:L90)</f>
        <v>963.59999999999991</v>
      </c>
      <c r="M91" s="62"/>
      <c r="N91" s="40"/>
      <c r="O91" s="63"/>
      <c r="P91" s="60" t="s">
        <v>223</v>
      </c>
      <c r="Q91" s="61">
        <f>SUM(Q88:Q90)</f>
        <v>578</v>
      </c>
      <c r="R91" s="39"/>
      <c r="S91" s="40"/>
      <c r="T91" s="41"/>
      <c r="U91" s="60" t="s">
        <v>223</v>
      </c>
      <c r="V91" s="61">
        <f>SUM(V88:V90)</f>
        <v>1645.6</v>
      </c>
    </row>
    <row r="92" spans="2:22" x14ac:dyDescent="0.25">
      <c r="B92" s="53" t="s">
        <v>209</v>
      </c>
      <c r="C92" s="64"/>
      <c r="D92" s="55"/>
      <c r="E92" s="55"/>
      <c r="F92" s="54" t="s">
        <v>224</v>
      </c>
      <c r="G92" s="67">
        <v>300</v>
      </c>
      <c r="H92" s="68"/>
      <c r="I92" s="55"/>
      <c r="J92" s="69"/>
      <c r="K92" s="54" t="s">
        <v>224</v>
      </c>
      <c r="L92" s="67">
        <v>369</v>
      </c>
      <c r="M92" s="68"/>
      <c r="N92" s="55"/>
      <c r="O92" s="69"/>
      <c r="P92" s="54" t="s">
        <v>224</v>
      </c>
      <c r="Q92" s="67">
        <v>199</v>
      </c>
      <c r="R92" s="64"/>
      <c r="S92" s="55"/>
      <c r="T92" s="70"/>
      <c r="U92" s="54" t="s">
        <v>224</v>
      </c>
      <c r="V92" s="67"/>
    </row>
    <row r="93" spans="2:22" x14ac:dyDescent="0.25">
      <c r="B93" s="58" t="s">
        <v>132</v>
      </c>
      <c r="C93" s="34"/>
      <c r="F93" s="4" t="s">
        <v>346</v>
      </c>
      <c r="G93" s="37">
        <v>1800</v>
      </c>
      <c r="H93" s="47"/>
      <c r="J93" s="10"/>
      <c r="K93" s="4" t="s">
        <v>352</v>
      </c>
      <c r="L93" s="37">
        <f>1594.91+274.56</f>
        <v>1869.47</v>
      </c>
      <c r="M93" s="47"/>
      <c r="O93" s="10"/>
      <c r="P93" s="4" t="s">
        <v>225</v>
      </c>
      <c r="Q93" s="37">
        <v>1290</v>
      </c>
      <c r="R93" s="34"/>
      <c r="U93" s="4" t="s">
        <v>225</v>
      </c>
      <c r="V93" s="37">
        <v>1700</v>
      </c>
    </row>
    <row r="94" spans="2:22" ht="15.75" thickBot="1" x14ac:dyDescent="0.3">
      <c r="B94" s="59"/>
      <c r="C94" s="39"/>
      <c r="D94" s="40"/>
      <c r="E94" s="40"/>
      <c r="F94" s="40"/>
      <c r="G94" s="49"/>
      <c r="H94" s="39"/>
      <c r="I94" s="40"/>
      <c r="J94" s="40"/>
      <c r="K94" s="40"/>
      <c r="L94" s="49"/>
      <c r="M94" s="39"/>
      <c r="N94" s="40"/>
      <c r="O94" s="40"/>
      <c r="P94" s="73" t="s">
        <v>356</v>
      </c>
      <c r="Q94" s="74"/>
      <c r="R94" s="39"/>
      <c r="S94" s="40"/>
      <c r="T94" s="41"/>
      <c r="U94" s="73" t="s">
        <v>356</v>
      </c>
      <c r="V94" s="74">
        <f>77.79+21</f>
        <v>98.79</v>
      </c>
    </row>
    <row r="95" spans="2:22" x14ac:dyDescent="0.25">
      <c r="B95" s="53" t="s">
        <v>220</v>
      </c>
      <c r="C95" s="64"/>
      <c r="D95" s="55"/>
      <c r="E95" s="55"/>
      <c r="F95" s="54" t="s">
        <v>418</v>
      </c>
      <c r="G95" s="67">
        <f>SUM(G93,G92,G91,G87,G81,G79)</f>
        <v>27006.76</v>
      </c>
      <c r="H95" s="68"/>
      <c r="I95" s="55"/>
      <c r="J95" s="69"/>
      <c r="K95" s="54" t="s">
        <v>418</v>
      </c>
      <c r="L95" s="67">
        <f>SUM(L91:L93,L87,L81,L79)</f>
        <v>23268.76</v>
      </c>
      <c r="M95" s="68"/>
      <c r="N95" s="55"/>
      <c r="O95" s="69"/>
      <c r="P95" s="54" t="s">
        <v>418</v>
      </c>
      <c r="Q95" s="67">
        <f>SUM(Q91:Q94,Q87,Q81,Q79)</f>
        <v>19906.919999999998</v>
      </c>
      <c r="R95" s="64"/>
      <c r="S95" s="55"/>
      <c r="T95" s="70"/>
      <c r="U95" s="54" t="s">
        <v>418</v>
      </c>
      <c r="V95" s="67">
        <f>SUM(V91:V94,V87,V81,V79)</f>
        <v>23407.26</v>
      </c>
    </row>
    <row r="96" spans="2:22" x14ac:dyDescent="0.25">
      <c r="B96" s="58"/>
      <c r="C96" s="34"/>
      <c r="F96" s="2" t="s">
        <v>273</v>
      </c>
      <c r="G96" s="33">
        <v>2328.13</v>
      </c>
      <c r="H96" s="44"/>
      <c r="K96" s="2" t="s">
        <v>273</v>
      </c>
      <c r="L96" s="33">
        <f>450+1368.03</f>
        <v>1818.03</v>
      </c>
      <c r="M96" s="44"/>
      <c r="O96" s="8"/>
      <c r="P96" s="2" t="s">
        <v>273</v>
      </c>
      <c r="Q96" s="33">
        <f>1450.8+0.64+249.48+578</f>
        <v>2278.92</v>
      </c>
      <c r="R96" s="34"/>
      <c r="U96" s="2" t="s">
        <v>273</v>
      </c>
      <c r="V96" s="33">
        <f>658.24+793.8+1463.99</f>
        <v>2916.0299999999997</v>
      </c>
    </row>
    <row r="97" spans="2:22" x14ac:dyDescent="0.25">
      <c r="B97" s="58"/>
      <c r="C97" s="34"/>
      <c r="F97" s="4" t="s">
        <v>272</v>
      </c>
      <c r="G97" s="37">
        <f>G95-G96</f>
        <v>24678.629999999997</v>
      </c>
      <c r="H97" s="47"/>
      <c r="J97" s="10"/>
      <c r="K97" s="4" t="s">
        <v>221</v>
      </c>
      <c r="L97" s="37">
        <f>L95-L96</f>
        <v>21450.73</v>
      </c>
      <c r="M97" s="47"/>
      <c r="O97" s="10"/>
      <c r="P97" s="4" t="s">
        <v>221</v>
      </c>
      <c r="Q97" s="37">
        <f>Q95-Q96</f>
        <v>17628</v>
      </c>
      <c r="R97" s="34"/>
      <c r="U97" s="4" t="s">
        <v>221</v>
      </c>
      <c r="V97" s="37">
        <f>V95-V96</f>
        <v>20491.23</v>
      </c>
    </row>
    <row r="98" spans="2:22" x14ac:dyDescent="0.25">
      <c r="B98" s="58"/>
      <c r="C98" s="34"/>
      <c r="F98" s="31" t="s">
        <v>348</v>
      </c>
      <c r="G98" s="33">
        <f>124.11</f>
        <v>124.11</v>
      </c>
      <c r="H98" s="34"/>
      <c r="K98" s="36" t="s">
        <v>427</v>
      </c>
      <c r="L98" s="33"/>
      <c r="M98" s="44"/>
      <c r="O98" s="8"/>
      <c r="Q98" s="48"/>
      <c r="R98" s="34"/>
      <c r="U98" s="36" t="s">
        <v>441</v>
      </c>
      <c r="V98" s="35"/>
    </row>
    <row r="99" spans="2:22" x14ac:dyDescent="0.25">
      <c r="B99" s="58"/>
      <c r="C99" s="34"/>
      <c r="F99" s="36" t="s">
        <v>433</v>
      </c>
      <c r="G99" s="33"/>
      <c r="H99" s="34"/>
      <c r="K99" s="36" t="s">
        <v>428</v>
      </c>
      <c r="L99" s="33"/>
      <c r="M99" s="44"/>
      <c r="O99" s="8"/>
      <c r="P99" s="36" t="s">
        <v>435</v>
      </c>
      <c r="Q99" s="48"/>
      <c r="R99" s="34"/>
      <c r="U99" s="36" t="s">
        <v>436</v>
      </c>
      <c r="V99" s="35"/>
    </row>
    <row r="100" spans="2:22" x14ac:dyDescent="0.25">
      <c r="B100" s="58"/>
      <c r="C100" s="34"/>
      <c r="F100" s="36" t="s">
        <v>440</v>
      </c>
      <c r="G100" s="33"/>
      <c r="H100" s="34"/>
      <c r="K100" s="36" t="s">
        <v>439</v>
      </c>
      <c r="L100" s="33"/>
      <c r="M100" s="44"/>
      <c r="O100" s="8"/>
      <c r="P100" s="36" t="s">
        <v>438</v>
      </c>
      <c r="Q100" s="48"/>
      <c r="R100" s="34"/>
      <c r="U100" s="36" t="s">
        <v>437</v>
      </c>
      <c r="V100" s="35"/>
    </row>
    <row r="101" spans="2:22" ht="15.75" thickBot="1" x14ac:dyDescent="0.3">
      <c r="B101" s="59"/>
      <c r="C101" s="39"/>
      <c r="D101" s="40"/>
      <c r="E101" s="40"/>
      <c r="F101" s="42" t="s">
        <v>432</v>
      </c>
      <c r="G101" s="49"/>
      <c r="H101" s="39"/>
      <c r="I101" s="40"/>
      <c r="J101" s="40"/>
      <c r="K101" s="42" t="s">
        <v>419</v>
      </c>
      <c r="L101" s="49"/>
      <c r="M101" s="39"/>
      <c r="N101" s="40"/>
      <c r="O101" s="40"/>
      <c r="P101" s="42" t="s">
        <v>420</v>
      </c>
      <c r="Q101" s="49"/>
      <c r="R101" s="39"/>
      <c r="S101" s="40"/>
      <c r="T101" s="41"/>
      <c r="U101" s="42" t="s">
        <v>422</v>
      </c>
      <c r="V101" s="43"/>
    </row>
    <row r="102" spans="2:22" x14ac:dyDescent="0.25">
      <c r="P102" s="31"/>
      <c r="U102" s="31"/>
      <c r="V102" s="8"/>
    </row>
    <row r="103" spans="2:22" x14ac:dyDescent="0.25">
      <c r="P103" s="31"/>
      <c r="U103" s="31"/>
      <c r="V103" s="8"/>
    </row>
    <row r="104" spans="2:22" x14ac:dyDescent="0.25">
      <c r="P104" s="31"/>
      <c r="U104" s="31"/>
      <c r="V104" s="8"/>
    </row>
    <row r="105" spans="2:22" x14ac:dyDescent="0.25">
      <c r="P105" s="31"/>
      <c r="U105" s="31"/>
      <c r="V105" s="8"/>
    </row>
    <row r="106" spans="2:22" x14ac:dyDescent="0.25">
      <c r="P106" s="31"/>
      <c r="U106" s="31"/>
      <c r="V106" s="8"/>
    </row>
    <row r="107" spans="2:22" x14ac:dyDescent="0.25">
      <c r="P107" s="31"/>
      <c r="U107" s="31"/>
      <c r="V107" s="8"/>
    </row>
    <row r="108" spans="2:22" x14ac:dyDescent="0.25">
      <c r="P108" s="31"/>
      <c r="V108" s="8"/>
    </row>
    <row r="109" spans="2:22" x14ac:dyDescent="0.25">
      <c r="P109" s="31"/>
      <c r="V109" s="8"/>
    </row>
  </sheetData>
  <mergeCells count="21">
    <mergeCell ref="Q88:Q90"/>
    <mergeCell ref="L26:L32"/>
    <mergeCell ref="K26:K32"/>
    <mergeCell ref="J6:J14"/>
    <mergeCell ref="J15:J20"/>
    <mergeCell ref="O6:O14"/>
    <mergeCell ref="O15:O20"/>
    <mergeCell ref="O21:O24"/>
    <mergeCell ref="E26:E32"/>
    <mergeCell ref="C4:G4"/>
    <mergeCell ref="E15:E20"/>
    <mergeCell ref="M4:Q4"/>
    <mergeCell ref="R4:V4"/>
    <mergeCell ref="G6:G74"/>
    <mergeCell ref="H4:L4"/>
    <mergeCell ref="T6:T14"/>
    <mergeCell ref="T15:T20"/>
    <mergeCell ref="T21:T24"/>
    <mergeCell ref="J21:J25"/>
    <mergeCell ref="E6:E14"/>
    <mergeCell ref="E21:E24"/>
  </mergeCells>
  <phoneticPr fontId="3" type="noConversion"/>
  <hyperlinks>
    <hyperlink ref="C4" r:id="rId1" display="M@ nouvelle cuisine" xr:uid="{AEDDA8DF-EF74-45E4-BE6A-BDBF234FA3E2}"/>
  </hyperlinks>
  <pageMargins left="0.31496062992125984" right="0.31496062992125984" top="0.35433070866141736" bottom="0.35433070866141736" header="0.19685039370078741" footer="0.11811023622047245"/>
  <pageSetup paperSize="9" scale="35" orientation="landscape"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devis</vt:lpstr>
      <vt:lpstr>conseils</vt:lpstr>
      <vt:lpstr>Comparatif cuisines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PC-SERVEUR</dc:creator>
  <cp:lastModifiedBy>PC-SERVEUR</cp:lastModifiedBy>
  <cp:lastPrinted>2023-04-18T19:00:42Z</cp:lastPrinted>
  <dcterms:created xsi:type="dcterms:W3CDTF">2022-12-14T13:31:23Z</dcterms:created>
  <dcterms:modified xsi:type="dcterms:W3CDTF">2023-04-20T14:13:23Z</dcterms:modified>
</cp:coreProperties>
</file>