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6 - 2022_001 - Clients Olivier et Catherine Duval - CLT000001\08- DEVIS ET FACTURES ARTISANS\"/>
    </mc:Choice>
  </mc:AlternateContent>
  <xr:revisionPtr revIDLastSave="0" documentId="13_ncr:1_{1D4F5074-E1B9-431D-88C8-DBEFB7C64FF6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RECAPITULATIF" sheetId="1" r:id="rId1"/>
    <sheet name="Détail budgets" sheetId="3" r:id="rId2"/>
    <sheet name="feuille" sheetId="2" r:id="rId3"/>
    <sheet name="RAF" sheetId="4" r:id="rId4"/>
  </sheets>
  <definedNames>
    <definedName name="_xlnm.Print_Area" localSheetId="0">RECAPITULATIF!$A$1:$AA$56</definedName>
  </definedNames>
  <calcPr calcId="191029"/>
</workbook>
</file>

<file path=xl/calcChain.xml><?xml version="1.0" encoding="utf-8"?>
<calcChain xmlns="http://schemas.openxmlformats.org/spreadsheetml/2006/main">
  <c r="E54" i="1" l="1"/>
  <c r="U48" i="1" s="1"/>
  <c r="I52" i="1"/>
  <c r="M29" i="1"/>
  <c r="I29" i="1"/>
  <c r="E37" i="1"/>
  <c r="Q29" i="1"/>
  <c r="F19" i="3"/>
  <c r="F17" i="3"/>
  <c r="F21" i="3" s="1"/>
  <c r="C23" i="3"/>
  <c r="E39" i="1"/>
  <c r="O27" i="1"/>
  <c r="O25" i="1"/>
  <c r="D17" i="3"/>
  <c r="D16" i="3"/>
  <c r="Z25" i="1"/>
  <c r="N44" i="3"/>
  <c r="O44" i="3"/>
  <c r="P42" i="3"/>
  <c r="Q43" i="3"/>
  <c r="P43" i="3"/>
  <c r="O43" i="3"/>
  <c r="N47" i="3"/>
  <c r="N48" i="3" s="1"/>
  <c r="O42" i="3"/>
  <c r="O47" i="3" s="1"/>
  <c r="O48" i="3" s="1"/>
  <c r="W25" i="1"/>
  <c r="D69" i="3"/>
  <c r="D61" i="3"/>
  <c r="F44" i="3"/>
  <c r="D56" i="3"/>
  <c r="F56" i="3" s="1"/>
  <c r="D63" i="3"/>
  <c r="F63" i="3" s="1"/>
  <c r="F37" i="3"/>
  <c r="F33" i="3"/>
  <c r="F34" i="3"/>
  <c r="F35" i="3"/>
  <c r="F36" i="3"/>
  <c r="F38" i="3"/>
  <c r="F39" i="3"/>
  <c r="F40" i="3"/>
  <c r="F41" i="3"/>
  <c r="F42" i="3"/>
  <c r="F43" i="3"/>
  <c r="F45" i="3"/>
  <c r="F46" i="3"/>
  <c r="F47" i="3"/>
  <c r="F48" i="3"/>
  <c r="F49" i="3"/>
  <c r="F50" i="3"/>
  <c r="F51" i="3"/>
  <c r="F52" i="3"/>
  <c r="F64" i="3"/>
  <c r="F53" i="3"/>
  <c r="F54" i="3"/>
  <c r="F55" i="3"/>
  <c r="F57" i="3"/>
  <c r="F58" i="3"/>
  <c r="F59" i="3"/>
  <c r="F32" i="3"/>
  <c r="F61" i="3" s="1"/>
  <c r="F69" i="3" s="1"/>
  <c r="T66" i="3"/>
  <c r="U66" i="3"/>
  <c r="U53" i="3"/>
  <c r="U47" i="3"/>
  <c r="T47" i="3"/>
  <c r="U38" i="3"/>
  <c r="T38" i="3"/>
  <c r="U33" i="3"/>
  <c r="T33" i="3"/>
  <c r="T27" i="3"/>
  <c r="U27" i="3"/>
  <c r="T10" i="3"/>
  <c r="U10" i="3"/>
  <c r="Q31" i="3"/>
  <c r="Q30" i="3"/>
  <c r="N14" i="3"/>
  <c r="N15" i="3" s="1"/>
  <c r="O9" i="3"/>
  <c r="O14" i="3" s="1"/>
  <c r="O15" i="3" s="1"/>
  <c r="M32" i="1"/>
  <c r="K27" i="1"/>
  <c r="J11" i="3"/>
  <c r="H11" i="3"/>
  <c r="C25" i="1"/>
  <c r="C27" i="1" s="1"/>
  <c r="S22" i="1"/>
  <c r="S27" i="1" s="1"/>
  <c r="S24" i="1"/>
  <c r="E38" i="1" l="1"/>
  <c r="Q34" i="1"/>
  <c r="T68" i="3"/>
  <c r="T69" i="3" s="1"/>
  <c r="U68" i="3"/>
  <c r="U69" i="3" s="1"/>
  <c r="W27" i="3"/>
  <c r="Q15" i="3"/>
  <c r="Q14" i="3"/>
  <c r="D9" i="3"/>
  <c r="D10" i="3"/>
  <c r="D12" i="3"/>
  <c r="D13" i="3"/>
  <c r="D14" i="3"/>
  <c r="D15" i="3"/>
  <c r="D8" i="3"/>
  <c r="D17" i="2"/>
  <c r="Y24" i="1"/>
  <c r="U24" i="1"/>
  <c r="Q24" i="1"/>
  <c r="M24" i="1"/>
  <c r="I24" i="1"/>
  <c r="E24" i="1"/>
  <c r="M22" i="1"/>
  <c r="W27" i="1"/>
  <c r="Y25" i="1"/>
  <c r="Y22" i="1"/>
  <c r="Y29" i="1" l="1"/>
  <c r="Y34" i="1" s="1"/>
  <c r="W69" i="3"/>
  <c r="W68" i="3"/>
  <c r="G25" i="1" s="1"/>
  <c r="G27" i="1" s="1"/>
  <c r="O22" i="1"/>
  <c r="E25" i="1"/>
  <c r="E22" i="1"/>
  <c r="E29" i="1" s="1"/>
  <c r="U22" i="1"/>
  <c r="U29" i="1" s="1"/>
  <c r="U34" i="1" s="1"/>
  <c r="M25" i="1"/>
  <c r="M34" i="1" s="1"/>
  <c r="I22" i="1"/>
  <c r="I25" i="1" l="1"/>
  <c r="I34" i="1" s="1"/>
  <c r="E40" i="1" s="1"/>
  <c r="E34" i="1" l="1"/>
  <c r="C48" i="1"/>
  <c r="C50" i="1" s="1"/>
  <c r="I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PC-SERVEUR</author>
  </authors>
  <commentList>
    <comment ref="C22" authorId="0" shapeId="0" xr:uid="{22A79992-DB7F-4A62-A055-2871C36D1BF7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Cave + RDC</t>
        </r>
      </text>
    </comment>
    <comment ref="K25" authorId="0" shapeId="0" xr:uid="{34B7311F-00C8-43EA-8F40-DF748E5ADB27}">
      <text>
        <r>
          <rPr>
            <b/>
            <sz val="9"/>
            <color indexed="81"/>
            <rFont val="Tahoma"/>
            <family val="2"/>
          </rPr>
          <t>PC-SERVEUR:</t>
        </r>
        <r>
          <rPr>
            <sz val="9"/>
            <color indexed="81"/>
            <rFont val="Tahoma"/>
            <family val="2"/>
          </rPr>
          <t xml:space="preserve">
chgt de sol</t>
        </r>
      </text>
    </comment>
    <comment ref="Q25" authorId="0" shapeId="0" xr:uid="{0AE3CD72-7A74-46C2-8A40-AA390730DE6F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chgt plan de travail compact en céramique</t>
        </r>
      </text>
    </comment>
    <comment ref="K31" authorId="0" shapeId="0" xr:uid="{2D1C9FBF-396B-4B94-A74E-BAE5FF50EA70}">
      <text>
        <r>
          <rPr>
            <b/>
            <sz val="9"/>
            <color indexed="81"/>
            <rFont val="Tahoma"/>
            <charset val="1"/>
          </rPr>
          <t>PC-SERVEUR:</t>
        </r>
        <r>
          <rPr>
            <sz val="9"/>
            <color indexed="81"/>
            <rFont val="Tahoma"/>
            <charset val="1"/>
          </rPr>
          <t xml:space="preserve">
30% avancement</t>
        </r>
      </text>
    </comment>
  </commentList>
</comments>
</file>

<file path=xl/sharedStrings.xml><?xml version="1.0" encoding="utf-8"?>
<sst xmlns="http://schemas.openxmlformats.org/spreadsheetml/2006/main" count="274" uniqueCount="177">
  <si>
    <t>TOTAL €HT</t>
  </si>
  <si>
    <t>TOTAL €TTC</t>
  </si>
  <si>
    <t xml:space="preserve">REFERENCE PROJET : </t>
  </si>
  <si>
    <t>ADRESSE :</t>
  </si>
  <si>
    <t xml:space="preserve">MAITRE D'OUVRAGE  </t>
  </si>
  <si>
    <t>BUDGET TRAVAUX ENTREPRISES</t>
  </si>
  <si>
    <t>TTC</t>
  </si>
  <si>
    <t>MISE A JOUR</t>
  </si>
  <si>
    <t>HT</t>
  </si>
  <si>
    <t>TVA</t>
  </si>
  <si>
    <t>MARCHE DE TRAVAUX</t>
  </si>
  <si>
    <t xml:space="preserve">TOTAL HT  </t>
  </si>
  <si>
    <t xml:space="preserve">TOTAL TTC  </t>
  </si>
  <si>
    <t>TOTAL GENERAL TRAVAUX + HONORAIRES</t>
  </si>
  <si>
    <t xml:space="preserve">TOTAL HONORAIRES  HORS TAXES  </t>
  </si>
  <si>
    <t xml:space="preserve">TOTAL HONORAIRES TOUTES TAXES COMPRISES  </t>
  </si>
  <si>
    <t>DEVIS COMPLEMENTAIRE / AVENANT 1</t>
  </si>
  <si>
    <t>TOTAL TRAVAUX  HORS TAXES</t>
  </si>
  <si>
    <t>SUIVI DES MARCHES ET DES BUDGETS</t>
  </si>
  <si>
    <t>RÊV'L</t>
  </si>
  <si>
    <t>N° SIREN 912 699 949 - 07 48 11 91 37</t>
  </si>
  <si>
    <t>HONORAIRES RÊV'L</t>
  </si>
  <si>
    <t>TVA  NON APPLICABLE art. 293B du CGI</t>
  </si>
  <si>
    <t xml:space="preserve">TOTAL TRAVAUX TOUTES TAXES COMPRISES  </t>
  </si>
  <si>
    <t>DÉJÀ REGLE (ACOMPTES)</t>
  </si>
  <si>
    <t>RESTANT DÛ</t>
  </si>
  <si>
    <t>MACONNERIE / PLAQUISTERIE</t>
  </si>
  <si>
    <t>ABC DU BÂTIMENT</t>
  </si>
  <si>
    <t>ELECTRICITE / PLOMBERIE</t>
  </si>
  <si>
    <t>ENERGIE FUTURA</t>
  </si>
  <si>
    <t>PEINTURE / SOLS</t>
  </si>
  <si>
    <t>Projet M et Mme DUVAL</t>
  </si>
  <si>
    <t>74 route de la Crèche - 79230 VOUILLE</t>
  </si>
  <si>
    <t>M et Mme DUVAL - 74 route de la Crèche - 79230 VOUILLE - olivierduval@orange.fr - 06 61 84 23 37</t>
  </si>
  <si>
    <t>CUISINE</t>
  </si>
  <si>
    <t>CUISINES LARIPPE</t>
  </si>
  <si>
    <t>ACRYLCOLOR</t>
  </si>
  <si>
    <t>M. ROSSI</t>
  </si>
  <si>
    <t>Rossi</t>
  </si>
  <si>
    <t>Larippe</t>
  </si>
  <si>
    <t>cuisine</t>
  </si>
  <si>
    <t>ABC</t>
  </si>
  <si>
    <t>cave</t>
  </si>
  <si>
    <t>Acrylcolor</t>
  </si>
  <si>
    <t>portes</t>
  </si>
  <si>
    <t>murs + escalier</t>
  </si>
  <si>
    <t>plafond</t>
  </si>
  <si>
    <t>doublage</t>
  </si>
  <si>
    <t>cloisons</t>
  </si>
  <si>
    <t>Futura</t>
  </si>
  <si>
    <t>élec</t>
  </si>
  <si>
    <t>plomberie</t>
  </si>
  <si>
    <t>éléments WC (routhiau)</t>
  </si>
  <si>
    <t>Porte ext cour + VR</t>
  </si>
  <si>
    <t>Déco</t>
  </si>
  <si>
    <t>rideaux + tringle</t>
  </si>
  <si>
    <t>2 sols</t>
  </si>
  <si>
    <t>2 appliques</t>
  </si>
  <si>
    <t>Meubles</t>
  </si>
  <si>
    <t>Electroménager 1</t>
  </si>
  <si>
    <t>Electroménager 2</t>
  </si>
  <si>
    <t>Sanitaires</t>
  </si>
  <si>
    <t>Accessoires</t>
  </si>
  <si>
    <t>Plan de travail</t>
  </si>
  <si>
    <t>Pose</t>
  </si>
  <si>
    <t>Ecoparticipation</t>
  </si>
  <si>
    <t>TOTAL</t>
  </si>
  <si>
    <t>DÉJÀ REGLE TTC (ACOMPTES)</t>
  </si>
  <si>
    <t>RESTANT DÛ TTC</t>
  </si>
  <si>
    <t>MENUISERIES EXT.</t>
  </si>
  <si>
    <t>MENUISERIES INT.</t>
  </si>
  <si>
    <t>CONCEPTION</t>
  </si>
  <si>
    <t>SUIVI DES TRAVAUX</t>
  </si>
  <si>
    <t xml:space="preserve">TAUX D'HONORAIRES SUIVI DES TRAVAUX </t>
  </si>
  <si>
    <t>menuiseries int</t>
  </si>
  <si>
    <t>agencement sur mesure</t>
  </si>
  <si>
    <t>DÉJÀ REGLE</t>
  </si>
  <si>
    <t>PLUS-VALUES / MOINS-VALUES</t>
  </si>
  <si>
    <t>Electroménager 3 (avec 40% remise)</t>
  </si>
  <si>
    <t>ELEC PLOMBERIE</t>
  </si>
  <si>
    <t>En +</t>
  </si>
  <si>
    <t>5 prises en moins</t>
  </si>
  <si>
    <t>déplacement boitier couloir</t>
  </si>
  <si>
    <t>En -</t>
  </si>
  <si>
    <t>Prise lave vaisselle</t>
  </si>
  <si>
    <t>Ligne alimentation four</t>
  </si>
  <si>
    <t>simple allumage en applique sur evier</t>
  </si>
  <si>
    <t>Diffence</t>
  </si>
  <si>
    <t>membrane cave</t>
  </si>
  <si>
    <t>aerateur à membrane WC étage</t>
  </si>
  <si>
    <t>?</t>
  </si>
  <si>
    <t>Cuisine</t>
  </si>
  <si>
    <t>Sas</t>
  </si>
  <si>
    <t>pourquoi 2 boutons simple allumage</t>
  </si>
  <si>
    <t>WC</t>
  </si>
  <si>
    <t>Applique</t>
  </si>
  <si>
    <t>avant</t>
  </si>
  <si>
    <t>apres</t>
  </si>
  <si>
    <t>en moins</t>
  </si>
  <si>
    <t>Pourquoi 2 boutons lumineux ? 1 seul pour la cave</t>
  </si>
  <si>
    <t>Pourquoi 2 boutons lumineux ? 1 seul pour les WC</t>
  </si>
  <si>
    <t>prise double USB</t>
  </si>
  <si>
    <t>3 lampes suppl et non 2</t>
  </si>
  <si>
    <t>1 lampe suppl et non 2</t>
  </si>
  <si>
    <t>appliques ext</t>
  </si>
  <si>
    <t>Disjoncteur</t>
  </si>
  <si>
    <t>kit audio main libre (portillon rue)</t>
  </si>
  <si>
    <t>televariateur (ruban led)</t>
  </si>
  <si>
    <t>ELECTRICITE</t>
  </si>
  <si>
    <t>PLOMBERIE</t>
  </si>
  <si>
    <t>sortie applique murale ?</t>
  </si>
  <si>
    <t>2  portes serviettes : cadeau (en attente d'un modèle qui est compatible suite modif fabricant) + reliquat 500€ sur PAC offert</t>
  </si>
  <si>
    <t>reprises + finitions</t>
  </si>
  <si>
    <t>Energie</t>
  </si>
  <si>
    <t>portes serviettes + pb odeur</t>
  </si>
  <si>
    <t>réserves 5% à payer</t>
  </si>
  <si>
    <t>miroir</t>
  </si>
  <si>
    <t>tout</t>
  </si>
  <si>
    <t>MENUISERIES INT</t>
  </si>
  <si>
    <t>DAVID ROSSI</t>
  </si>
  <si>
    <t>aménagement sur mesure</t>
  </si>
  <si>
    <t>=</t>
  </si>
  <si>
    <t>+</t>
  </si>
  <si>
    <t>cache pour coude évacuation WC</t>
  </si>
  <si>
    <t>cache pour miroir</t>
  </si>
  <si>
    <t>poignée WC</t>
  </si>
  <si>
    <t>Dressing</t>
  </si>
  <si>
    <t>aménagement sur mesure PL chaussures</t>
  </si>
  <si>
    <t>dressing en L</t>
  </si>
  <si>
    <t>vide poche</t>
  </si>
  <si>
    <t>PL entretien</t>
  </si>
  <si>
    <t>pose ensemble placard</t>
  </si>
  <si>
    <t>Plinthes</t>
  </si>
  <si>
    <t>fab + pose</t>
  </si>
  <si>
    <t>passage couloir salon</t>
  </si>
  <si>
    <t>passage couloir dressing</t>
  </si>
  <si>
    <t>cache porte veranda</t>
  </si>
  <si>
    <t>rallongement porte de la cave</t>
  </si>
  <si>
    <t>Détalonnage</t>
  </si>
  <si>
    <t>au RDC</t>
  </si>
  <si>
    <t>à l'étage</t>
  </si>
  <si>
    <t>modif porte intérieure</t>
  </si>
  <si>
    <t>encadrement porte int</t>
  </si>
  <si>
    <t>2 tablettes medium niche gauche + pose</t>
  </si>
  <si>
    <t>2 tablettes verre niche droite</t>
  </si>
  <si>
    <t>-</t>
  </si>
  <si>
    <t>caisson pour pl tableau élec</t>
  </si>
  <si>
    <t>cadre pour pl tableau elec</t>
  </si>
  <si>
    <t>montant à l'int tab élec pour porte façade</t>
  </si>
  <si>
    <t>pose caisson et cadre</t>
  </si>
  <si>
    <t>dépose baguettes et portes</t>
  </si>
  <si>
    <t>aménagement + pose niche expresso</t>
  </si>
  <si>
    <t>equerres pour niches</t>
  </si>
  <si>
    <t>caisson niche basse + 2 portes</t>
  </si>
  <si>
    <t>porte suppl pour pl entretien</t>
  </si>
  <si>
    <t>TOTAL FINAL</t>
  </si>
  <si>
    <t>TOTAL DEVIS INITIAL</t>
  </si>
  <si>
    <t>Plus-values</t>
  </si>
  <si>
    <t>4 petites grilles de ventilation dans embrasure</t>
  </si>
  <si>
    <t>Hors intervention sur les 3 fenêtres</t>
  </si>
  <si>
    <t>devis signé</t>
  </si>
  <si>
    <t>acompte 30% réalisé réglé</t>
  </si>
  <si>
    <t>émission</t>
  </si>
  <si>
    <t>paiement</t>
  </si>
  <si>
    <t>peinture HT</t>
  </si>
  <si>
    <t>Sol HT</t>
  </si>
  <si>
    <t>solde peinture avec +/- values + partie du sol</t>
  </si>
  <si>
    <t>TOTAL payé</t>
  </si>
  <si>
    <t>solde total</t>
  </si>
  <si>
    <t>Sit 1</t>
  </si>
  <si>
    <t>Sit 2</t>
  </si>
  <si>
    <t>Sit 3</t>
  </si>
  <si>
    <t>Economie % chgt sol</t>
  </si>
  <si>
    <t>Total plus-value TTC</t>
  </si>
  <si>
    <t>Surcoût chgt Plan de travail compact vers céramique</t>
  </si>
  <si>
    <t>REMISE</t>
  </si>
  <si>
    <t>RESTANT DÛ REMISE DEDUITE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</si>
</sst>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\ &quot;€&quot;"/>
    <numFmt numFmtId="165" formatCode="0.0%"/>
    <numFmt numFmtId="166" formatCode="_-* #,##0.00\ [$€-40C]_-;\-* #,##0.00\ [$€-40C]_-;_-* &quot;-&quot;??\ [$€-40C]_-;_-@_-"/>
  </numFmts>
  <fonts count="6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FF0000"/>
      <name val="Arial"/>
      <family val="2"/>
    </font>
    <font>
      <sz val="2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FF0000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9" tint="-0.249977111117893"/>
      <name val="Arial"/>
      <family val="2"/>
    </font>
    <font>
      <b/>
      <sz val="12"/>
      <color theme="0" tint="-0.34998626667073579"/>
      <name val="Arial"/>
      <family val="2"/>
    </font>
    <font>
      <b/>
      <sz val="24"/>
      <color rgb="FFB48A00"/>
      <name val="Arial"/>
      <family val="2"/>
    </font>
    <font>
      <b/>
      <sz val="18"/>
      <color rgb="FF1C6268"/>
      <name val="Arial"/>
      <family val="2"/>
    </font>
    <font>
      <sz val="12"/>
      <name val="Arial"/>
      <family val="2"/>
    </font>
    <font>
      <sz val="18"/>
      <color rgb="FF1C6268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b/>
      <sz val="12"/>
      <color rgb="FF1C6268"/>
      <name val="Arial"/>
      <family val="2"/>
    </font>
    <font>
      <b/>
      <sz val="12"/>
      <color rgb="FFB48A00"/>
      <name val="Arial"/>
      <family val="2"/>
    </font>
    <font>
      <b/>
      <sz val="13"/>
      <color rgb="FFB48A00"/>
      <name val="Arial"/>
      <family val="2"/>
    </font>
    <font>
      <b/>
      <sz val="13"/>
      <color rgb="FFFF0000"/>
      <name val="Arial"/>
      <family val="2"/>
    </font>
    <font>
      <sz val="12"/>
      <color theme="0" tint="-0.34998626667073579"/>
      <name val="Arial"/>
      <family val="2"/>
    </font>
    <font>
      <i/>
      <sz val="10"/>
      <color rgb="FF1C6268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3"/>
      <color theme="0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48A00"/>
        <bgColor indexed="64"/>
      </patternFill>
    </fill>
    <fill>
      <patternFill patternType="solid">
        <fgColor rgb="FF1C626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3" fillId="0" borderId="0" applyFont="0" applyFill="0" applyBorder="0" applyAlignment="0" applyProtection="0"/>
  </cellStyleXfs>
  <cellXfs count="19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64" fontId="10" fillId="0" borderId="0" xfId="0" applyNumberFormat="1" applyFont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left" vertical="center"/>
    </xf>
    <xf numFmtId="9" fontId="13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8" fillId="0" borderId="0" xfId="0" applyFont="1"/>
    <xf numFmtId="0" fontId="10" fillId="0" borderId="6" xfId="0" applyFont="1" applyBorder="1"/>
    <xf numFmtId="0" fontId="10" fillId="0" borderId="9" xfId="0" applyFont="1" applyBorder="1"/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6" fillId="0" borderId="9" xfId="0" applyFont="1" applyBorder="1"/>
    <xf numFmtId="0" fontId="20" fillId="0" borderId="0" xfId="0" applyFont="1"/>
    <xf numFmtId="0" fontId="19" fillId="0" borderId="0" xfId="0" applyFont="1"/>
    <xf numFmtId="164" fontId="10" fillId="0" borderId="0" xfId="0" applyNumberFormat="1" applyFont="1" applyAlignment="1">
      <alignment horizontal="left" vertical="center"/>
    </xf>
    <xf numFmtId="0" fontId="17" fillId="2" borderId="0" xfId="0" applyFont="1" applyFill="1"/>
    <xf numFmtId="0" fontId="17" fillId="0" borderId="4" xfId="0" applyFont="1" applyBorder="1"/>
    <xf numFmtId="0" fontId="10" fillId="0" borderId="5" xfId="0" applyFont="1" applyBorder="1" applyAlignment="1">
      <alignment horizontal="center"/>
    </xf>
    <xf numFmtId="164" fontId="10" fillId="2" borderId="10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22" fillId="0" borderId="0" xfId="0" applyFont="1"/>
    <xf numFmtId="0" fontId="23" fillId="0" borderId="1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27" fillId="3" borderId="4" xfId="0" applyFont="1" applyFill="1" applyBorder="1"/>
    <xf numFmtId="0" fontId="27" fillId="3" borderId="5" xfId="0" applyFont="1" applyFill="1" applyBorder="1"/>
    <xf numFmtId="0" fontId="27" fillId="3" borderId="3" xfId="0" applyFont="1" applyFill="1" applyBorder="1"/>
    <xf numFmtId="0" fontId="28" fillId="0" borderId="1" xfId="0" applyFont="1" applyBorder="1" applyAlignment="1">
      <alignment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64" fontId="24" fillId="2" borderId="5" xfId="0" applyNumberFormat="1" applyFon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2" borderId="0" xfId="0" applyFont="1" applyFill="1" applyAlignment="1">
      <alignment horizontal="left"/>
    </xf>
    <xf numFmtId="164" fontId="35" fillId="0" borderId="0" xfId="0" applyNumberFormat="1" applyFont="1" applyAlignment="1">
      <alignment horizontal="center" vertical="center"/>
    </xf>
    <xf numFmtId="0" fontId="37" fillId="3" borderId="3" xfId="0" applyFont="1" applyFill="1" applyBorder="1" applyAlignment="1">
      <alignment horizontal="center"/>
    </xf>
    <xf numFmtId="0" fontId="26" fillId="0" borderId="6" xfId="0" applyFont="1" applyBorder="1"/>
    <xf numFmtId="0" fontId="36" fillId="2" borderId="12" xfId="0" applyFont="1" applyFill="1" applyBorder="1"/>
    <xf numFmtId="0" fontId="36" fillId="2" borderId="13" xfId="0" applyFont="1" applyFill="1" applyBorder="1"/>
    <xf numFmtId="164" fontId="24" fillId="2" borderId="2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28" fillId="0" borderId="20" xfId="0" applyFont="1" applyBorder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9" fontId="24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/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4" fillId="2" borderId="0" xfId="0" applyNumberFormat="1" applyFont="1" applyFill="1" applyAlignment="1">
      <alignment horizontal="center" vertical="center"/>
    </xf>
    <xf numFmtId="9" fontId="44" fillId="0" borderId="0" xfId="0" applyNumberFormat="1" applyFont="1" applyAlignment="1">
      <alignment horizontal="center" vertical="center"/>
    </xf>
    <xf numFmtId="164" fontId="44" fillId="2" borderId="2" xfId="0" applyNumberFormat="1" applyFont="1" applyFill="1" applyBorder="1" applyAlignment="1">
      <alignment horizontal="center" vertical="center"/>
    </xf>
    <xf numFmtId="0" fontId="45" fillId="0" borderId="0" xfId="0" applyFont="1"/>
    <xf numFmtId="164" fontId="44" fillId="2" borderId="5" xfId="0" applyNumberFormat="1" applyFont="1" applyFill="1" applyBorder="1" applyAlignment="1">
      <alignment horizontal="center" vertical="center"/>
    </xf>
    <xf numFmtId="9" fontId="44" fillId="0" borderId="5" xfId="0" applyNumberFormat="1" applyFont="1" applyBorder="1" applyAlignment="1">
      <alignment horizontal="center" vertical="center"/>
    </xf>
    <xf numFmtId="164" fontId="14" fillId="2" borderId="10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7" fontId="10" fillId="0" borderId="19" xfId="0" applyNumberFormat="1" applyFont="1" applyBorder="1" applyAlignment="1">
      <alignment horizontal="center" vertical="center"/>
    </xf>
    <xf numFmtId="7" fontId="10" fillId="0" borderId="0" xfId="0" applyNumberFormat="1" applyFont="1" applyAlignment="1">
      <alignment horizontal="center" vertical="center"/>
    </xf>
    <xf numFmtId="165" fontId="24" fillId="0" borderId="5" xfId="0" applyNumberFormat="1" applyFont="1" applyBorder="1" applyAlignment="1">
      <alignment horizontal="center" vertical="center"/>
    </xf>
    <xf numFmtId="0" fontId="6" fillId="0" borderId="8" xfId="0" applyFont="1" applyBorder="1"/>
    <xf numFmtId="0" fontId="26" fillId="0" borderId="0" xfId="0" applyFont="1"/>
    <xf numFmtId="0" fontId="26" fillId="0" borderId="8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64" fontId="46" fillId="0" borderId="0" xfId="0" applyNumberFormat="1" applyFont="1" applyAlignment="1">
      <alignment horizontal="center" vertical="center"/>
    </xf>
    <xf numFmtId="0" fontId="4" fillId="0" borderId="6" xfId="0" applyFont="1" applyBorder="1"/>
    <xf numFmtId="0" fontId="4" fillId="0" borderId="0" xfId="0" applyFont="1"/>
    <xf numFmtId="0" fontId="6" fillId="0" borderId="6" xfId="0" applyFont="1" applyBorder="1"/>
    <xf numFmtId="0" fontId="6" fillId="0" borderId="7" xfId="0" applyFont="1" applyBorder="1"/>
    <xf numFmtId="0" fontId="18" fillId="0" borderId="13" xfId="0" applyFont="1" applyBorder="1"/>
    <xf numFmtId="0" fontId="18" fillId="0" borderId="23" xfId="0" applyFont="1" applyBorder="1"/>
    <xf numFmtId="0" fontId="11" fillId="2" borderId="0" xfId="0" applyFont="1" applyFill="1"/>
    <xf numFmtId="164" fontId="11" fillId="2" borderId="0" xfId="0" applyNumberFormat="1" applyFont="1" applyFill="1" applyAlignment="1">
      <alignment horizontal="center" vertical="center"/>
    </xf>
    <xf numFmtId="0" fontId="47" fillId="0" borderId="0" xfId="0" applyFont="1"/>
    <xf numFmtId="164" fontId="48" fillId="3" borderId="2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0" fontId="49" fillId="0" borderId="0" xfId="0" applyFont="1"/>
    <xf numFmtId="164" fontId="24" fillId="2" borderId="10" xfId="0" applyNumberFormat="1" applyFont="1" applyFill="1" applyBorder="1" applyAlignment="1">
      <alignment horizontal="center" vertical="center"/>
    </xf>
    <xf numFmtId="2" fontId="18" fillId="0" borderId="0" xfId="0" applyNumberFormat="1" applyFont="1"/>
    <xf numFmtId="164" fontId="0" fillId="0" borderId="0" xfId="0" applyNumberFormat="1"/>
    <xf numFmtId="164" fontId="10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50" fillId="0" borderId="0" xfId="0" applyFont="1" applyAlignment="1">
      <alignment horizontal="center" vertical="center"/>
    </xf>
    <xf numFmtId="166" fontId="50" fillId="0" borderId="0" xfId="0" applyNumberFormat="1" applyFont="1" applyAlignment="1">
      <alignment horizontal="center" vertical="center"/>
    </xf>
    <xf numFmtId="0" fontId="50" fillId="0" borderId="0" xfId="0" applyFont="1"/>
    <xf numFmtId="0" fontId="40" fillId="0" borderId="0" xfId="0" applyFont="1"/>
    <xf numFmtId="0" fontId="0" fillId="0" borderId="0" xfId="0" applyAlignment="1">
      <alignment horizontal="center" vertical="center" textRotation="90"/>
    </xf>
    <xf numFmtId="0" fontId="50" fillId="6" borderId="0" xfId="0" applyFont="1" applyFill="1" applyAlignment="1">
      <alignment horizontal="center" vertical="center"/>
    </xf>
    <xf numFmtId="0" fontId="46" fillId="0" borderId="0" xfId="0" applyFont="1"/>
    <xf numFmtId="0" fontId="51" fillId="0" borderId="0" xfId="0" applyFont="1"/>
    <xf numFmtId="0" fontId="0" fillId="0" borderId="0" xfId="0" quotePrefix="1"/>
    <xf numFmtId="164" fontId="52" fillId="2" borderId="0" xfId="0" applyNumberFormat="1" applyFont="1" applyFill="1" applyAlignment="1">
      <alignment horizontal="center" vertical="center"/>
    </xf>
    <xf numFmtId="9" fontId="52" fillId="0" borderId="0" xfId="0" applyNumberFormat="1" applyFont="1" applyAlignment="1">
      <alignment horizontal="center" vertical="center"/>
    </xf>
    <xf numFmtId="164" fontId="52" fillId="2" borderId="2" xfId="0" applyNumberFormat="1" applyFont="1" applyFill="1" applyBorder="1" applyAlignment="1">
      <alignment horizontal="center" vertical="center"/>
    </xf>
    <xf numFmtId="164" fontId="53" fillId="2" borderId="5" xfId="0" applyNumberFormat="1" applyFont="1" applyFill="1" applyBorder="1" applyAlignment="1">
      <alignment horizontal="center" vertical="center"/>
    </xf>
    <xf numFmtId="9" fontId="53" fillId="0" borderId="5" xfId="0" applyNumberFormat="1" applyFont="1" applyBorder="1" applyAlignment="1">
      <alignment horizontal="center" vertical="center"/>
    </xf>
    <xf numFmtId="0" fontId="54" fillId="0" borderId="0" xfId="0" quotePrefix="1" applyFont="1"/>
    <xf numFmtId="0" fontId="54" fillId="0" borderId="0" xfId="0" applyFont="1"/>
    <xf numFmtId="0" fontId="55" fillId="0" borderId="0" xfId="0" applyFont="1"/>
    <xf numFmtId="49" fontId="56" fillId="0" borderId="0" xfId="0" applyNumberFormat="1" applyFont="1" applyAlignment="1">
      <alignment horizontal="center" vertic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14" fontId="0" fillId="0" borderId="0" xfId="0" applyNumberFormat="1"/>
    <xf numFmtId="164" fontId="53" fillId="2" borderId="0" xfId="0" applyNumberFormat="1" applyFont="1" applyFill="1" applyAlignment="1">
      <alignment horizontal="center" vertical="center"/>
    </xf>
    <xf numFmtId="0" fontId="60" fillId="0" borderId="0" xfId="0" applyFont="1"/>
    <xf numFmtId="0" fontId="60" fillId="0" borderId="0" xfId="0" applyFont="1" applyAlignment="1">
      <alignment horizontal="center" vertical="center"/>
    </xf>
    <xf numFmtId="164" fontId="47" fillId="0" borderId="0" xfId="0" applyNumberFormat="1" applyFont="1"/>
    <xf numFmtId="164" fontId="10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10" fontId="10" fillId="0" borderId="1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7" fontId="10" fillId="0" borderId="19" xfId="0" applyNumberFormat="1" applyFont="1" applyBorder="1" applyAlignment="1">
      <alignment horizontal="center" vertical="center"/>
    </xf>
    <xf numFmtId="7" fontId="10" fillId="0" borderId="0" xfId="0" applyNumberFormat="1" applyFont="1" applyAlignment="1">
      <alignment horizontal="center" vertical="center"/>
    </xf>
    <xf numFmtId="14" fontId="21" fillId="0" borderId="16" xfId="0" applyNumberFormat="1" applyFont="1" applyBorder="1" applyAlignment="1">
      <alignment horizontal="center" vertical="center"/>
    </xf>
    <xf numFmtId="14" fontId="21" fillId="0" borderId="15" xfId="0" applyNumberFormat="1" applyFont="1" applyBorder="1" applyAlignment="1">
      <alignment horizontal="center" vertical="center"/>
    </xf>
    <xf numFmtId="0" fontId="33" fillId="0" borderId="16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164" fontId="10" fillId="2" borderId="0" xfId="0" applyNumberFormat="1" applyFont="1" applyFill="1" applyAlignment="1">
      <alignment horizontal="center" vertical="center"/>
    </xf>
    <xf numFmtId="164" fontId="37" fillId="3" borderId="4" xfId="0" applyNumberFormat="1" applyFont="1" applyFill="1" applyBorder="1" applyAlignment="1">
      <alignment horizontal="center"/>
    </xf>
    <xf numFmtId="164" fontId="37" fillId="3" borderId="5" xfId="0" applyNumberFormat="1" applyFont="1" applyFill="1" applyBorder="1" applyAlignment="1">
      <alignment horizontal="center"/>
    </xf>
    <xf numFmtId="164" fontId="35" fillId="0" borderId="13" xfId="0" applyNumberFormat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164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6" fillId="4" borderId="18" xfId="0" applyFont="1" applyFill="1" applyBorder="1" applyAlignment="1">
      <alignment horizontal="left" vertical="center"/>
    </xf>
    <xf numFmtId="0" fontId="26" fillId="4" borderId="6" xfId="0" applyFont="1" applyFill="1" applyBorder="1" applyAlignment="1">
      <alignment horizontal="left" vertical="center"/>
    </xf>
    <xf numFmtId="0" fontId="26" fillId="4" borderId="0" xfId="0" applyFont="1" applyFill="1" applyAlignment="1">
      <alignment horizontal="left" vertical="center"/>
    </xf>
    <xf numFmtId="164" fontId="27" fillId="3" borderId="5" xfId="0" applyNumberFormat="1" applyFont="1" applyFill="1" applyBorder="1" applyAlignment="1">
      <alignment horizontal="center"/>
    </xf>
    <xf numFmtId="0" fontId="36" fillId="2" borderId="0" xfId="0" applyFont="1" applyFill="1" applyAlignment="1">
      <alignment horizontal="left" vertical="center"/>
    </xf>
    <xf numFmtId="164" fontId="35" fillId="0" borderId="6" xfId="0" applyNumberFormat="1" applyFont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164" fontId="40" fillId="0" borderId="0" xfId="0" applyNumberFormat="1" applyFont="1" applyAlignment="1">
      <alignment horizontal="center" vertical="center"/>
    </xf>
    <xf numFmtId="10" fontId="34" fillId="0" borderId="0" xfId="1" applyNumberFormat="1" applyFont="1" applyAlignment="1">
      <alignment vertical="center" wrapText="1"/>
    </xf>
    <xf numFmtId="9" fontId="2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48A00"/>
      <color rgb="FF1C6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4"/>
  <sheetViews>
    <sheetView tabSelected="1" showWhiteSpace="0" topLeftCell="A21" zoomScale="85" zoomScaleNormal="85" zoomScaleSheetLayoutView="40" zoomScalePageLayoutView="90" workbookViewId="0">
      <selection activeCell="Q42" sqref="Q42"/>
    </sheetView>
  </sheetViews>
  <sheetFormatPr baseColWidth="10" defaultColWidth="11.5703125" defaultRowHeight="14.25" x14ac:dyDescent="0.2"/>
  <cols>
    <col min="1" max="1" width="30.5703125" style="3" customWidth="1"/>
    <col min="2" max="2" width="12.28515625" style="21" customWidth="1"/>
    <col min="3" max="3" width="15.28515625" style="3" bestFit="1" customWidth="1"/>
    <col min="4" max="4" width="7" style="3" customWidth="1"/>
    <col min="5" max="5" width="14.140625" style="3" customWidth="1"/>
    <col min="6" max="6" width="2.85546875" style="3" customWidth="1"/>
    <col min="7" max="7" width="13.28515625" style="3" customWidth="1"/>
    <col min="8" max="8" width="6.7109375" style="3" customWidth="1"/>
    <col min="9" max="9" width="13.5703125" style="3" customWidth="1"/>
    <col min="10" max="10" width="2.85546875" style="3" customWidth="1"/>
    <col min="11" max="11" width="14.42578125" style="3" customWidth="1"/>
    <col min="12" max="12" width="6.7109375" style="3" customWidth="1"/>
    <col min="13" max="13" width="13.140625" style="3" customWidth="1"/>
    <col min="14" max="14" width="2.85546875" style="3" customWidth="1"/>
    <col min="15" max="15" width="14.28515625" style="3" customWidth="1"/>
    <col min="16" max="16" width="6.7109375" style="3" customWidth="1"/>
    <col min="17" max="17" width="14" style="3" customWidth="1"/>
    <col min="18" max="18" width="2.85546875" style="3" customWidth="1"/>
    <col min="19" max="19" width="13.28515625" style="3" customWidth="1"/>
    <col min="20" max="20" width="6.7109375" style="3" customWidth="1"/>
    <col min="21" max="21" width="12.5703125" style="3" customWidth="1"/>
    <col min="22" max="22" width="2.7109375" style="3" customWidth="1"/>
    <col min="23" max="23" width="13.42578125" style="3" customWidth="1"/>
    <col min="24" max="24" width="7.140625" style="3" customWidth="1"/>
    <col min="25" max="25" width="13.5703125" style="3" customWidth="1"/>
    <col min="26" max="16384" width="11.5703125" style="3"/>
  </cols>
  <sheetData>
    <row r="1" spans="1:25" ht="30" x14ac:dyDescent="0.4">
      <c r="A1" s="52" t="s">
        <v>18</v>
      </c>
    </row>
    <row r="6" spans="1:25" ht="23.25" x14ac:dyDescent="0.2">
      <c r="A6" s="53" t="s">
        <v>2</v>
      </c>
      <c r="B6" s="1"/>
      <c r="C6" s="59" t="s">
        <v>31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51"/>
      <c r="T6" s="51"/>
      <c r="U6" s="51"/>
      <c r="V6" s="51"/>
      <c r="W6" s="51"/>
      <c r="X6" s="51"/>
      <c r="Y6" s="51"/>
    </row>
    <row r="7" spans="1:25" ht="23.25" x14ac:dyDescent="0.2">
      <c r="A7" s="54" t="s">
        <v>3</v>
      </c>
      <c r="B7" s="4"/>
      <c r="C7" s="75" t="s">
        <v>32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5" x14ac:dyDescent="0.2">
      <c r="A8" s="5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5" ht="20.25" customHeight="1" x14ac:dyDescent="0.2"/>
    <row r="10" spans="1:25" ht="20.100000000000001" customHeight="1" x14ac:dyDescent="0.2">
      <c r="A10" s="152" t="s">
        <v>19</v>
      </c>
      <c r="B10" s="153"/>
      <c r="C10" s="154"/>
      <c r="D10" s="164" t="s">
        <v>20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6"/>
    </row>
    <row r="11" spans="1:25" ht="20.100000000000001" customHeight="1" x14ac:dyDescent="0.2">
      <c r="A11" s="6"/>
      <c r="B11" s="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5" s="8" customFormat="1" ht="20.100000000000001" customHeight="1" x14ac:dyDescent="0.35">
      <c r="A12" s="155" t="s">
        <v>4</v>
      </c>
      <c r="B12" s="156"/>
      <c r="C12" s="157"/>
      <c r="D12" s="167" t="s">
        <v>33</v>
      </c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9"/>
    </row>
    <row r="13" spans="1:25" s="8" customFormat="1" ht="20.100000000000001" customHeight="1" x14ac:dyDescent="0.35">
      <c r="A13" s="9"/>
      <c r="B13" s="10"/>
    </row>
    <row r="14" spans="1:25" s="8" customFormat="1" ht="23.25" x14ac:dyDescent="0.35">
      <c r="B14" s="11"/>
      <c r="Q14" s="55" t="s">
        <v>7</v>
      </c>
      <c r="S14" s="162">
        <v>45540</v>
      </c>
      <c r="T14" s="163"/>
    </row>
    <row r="15" spans="1:25" s="8" customFormat="1" ht="23.25" x14ac:dyDescent="0.35">
      <c r="A15" s="185" t="s">
        <v>5</v>
      </c>
      <c r="B15" s="185"/>
      <c r="O15" s="12"/>
    </row>
    <row r="16" spans="1:25" s="8" customFormat="1" ht="13.5" customHeight="1" x14ac:dyDescent="0.35">
      <c r="B16" s="11"/>
      <c r="O16" s="25"/>
    </row>
    <row r="17" spans="1:26" ht="19.5" customHeight="1" x14ac:dyDescent="0.4">
      <c r="A17" s="13"/>
      <c r="C17" s="172" t="s">
        <v>26</v>
      </c>
      <c r="D17" s="172"/>
      <c r="E17" s="172"/>
      <c r="F17" s="60"/>
      <c r="G17" s="172" t="s">
        <v>28</v>
      </c>
      <c r="H17" s="172"/>
      <c r="I17" s="172"/>
      <c r="J17" s="60"/>
      <c r="K17" s="172" t="s">
        <v>30</v>
      </c>
      <c r="L17" s="172"/>
      <c r="M17" s="172"/>
      <c r="N17" s="60"/>
      <c r="O17" s="172" t="s">
        <v>34</v>
      </c>
      <c r="P17" s="172"/>
      <c r="Q17" s="172"/>
      <c r="R17" s="60"/>
      <c r="S17" s="172" t="s">
        <v>69</v>
      </c>
      <c r="T17" s="172"/>
      <c r="U17" s="172"/>
      <c r="V17" s="27"/>
      <c r="W17" s="172" t="s">
        <v>70</v>
      </c>
      <c r="X17" s="172"/>
      <c r="Y17" s="172"/>
    </row>
    <row r="18" spans="1:26" ht="15" customHeight="1" x14ac:dyDescent="0.4">
      <c r="A18" s="13"/>
      <c r="C18" s="171" t="s">
        <v>27</v>
      </c>
      <c r="D18" s="171"/>
      <c r="E18" s="171"/>
      <c r="F18" s="61"/>
      <c r="G18" s="171" t="s">
        <v>29</v>
      </c>
      <c r="H18" s="171"/>
      <c r="I18" s="171"/>
      <c r="J18" s="61"/>
      <c r="K18" s="171" t="s">
        <v>36</v>
      </c>
      <c r="L18" s="171"/>
      <c r="M18" s="171"/>
      <c r="N18" s="61"/>
      <c r="O18" s="171" t="s">
        <v>35</v>
      </c>
      <c r="P18" s="171"/>
      <c r="Q18" s="171"/>
      <c r="R18" s="61"/>
      <c r="S18" s="171" t="s">
        <v>37</v>
      </c>
      <c r="T18" s="171"/>
      <c r="U18" s="171"/>
      <c r="V18" s="22"/>
      <c r="W18" s="171" t="s">
        <v>37</v>
      </c>
      <c r="X18" s="171"/>
      <c r="Y18" s="171"/>
    </row>
    <row r="19" spans="1:26" ht="10.5" customHeight="1" x14ac:dyDescent="0.4">
      <c r="A19" s="13"/>
      <c r="B19" s="26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6" ht="15.75" x14ac:dyDescent="0.2">
      <c r="A20" s="14"/>
      <c r="B20" s="15"/>
      <c r="C20" s="28" t="s">
        <v>0</v>
      </c>
      <c r="D20" s="28" t="s">
        <v>9</v>
      </c>
      <c r="E20" s="29" t="s">
        <v>1</v>
      </c>
      <c r="F20" s="16"/>
      <c r="G20" s="28" t="s">
        <v>0</v>
      </c>
      <c r="H20" s="28" t="s">
        <v>9</v>
      </c>
      <c r="I20" s="29" t="s">
        <v>1</v>
      </c>
      <c r="J20" s="16"/>
      <c r="K20" s="28" t="s">
        <v>0</v>
      </c>
      <c r="L20" s="28" t="s">
        <v>9</v>
      </c>
      <c r="M20" s="29" t="s">
        <v>1</v>
      </c>
      <c r="N20" s="16"/>
      <c r="O20" s="28" t="s">
        <v>0</v>
      </c>
      <c r="P20" s="28" t="s">
        <v>9</v>
      </c>
      <c r="Q20" s="29" t="s">
        <v>1</v>
      </c>
      <c r="R20" s="16"/>
      <c r="S20" s="28" t="s">
        <v>0</v>
      </c>
      <c r="T20" s="28" t="s">
        <v>9</v>
      </c>
      <c r="U20" s="29" t="s">
        <v>1</v>
      </c>
      <c r="V20" s="29"/>
      <c r="W20" s="28" t="s">
        <v>0</v>
      </c>
      <c r="X20" s="28" t="s">
        <v>9</v>
      </c>
      <c r="Y20" s="29" t="s">
        <v>1</v>
      </c>
    </row>
    <row r="21" spans="1:26" ht="15.75" thickBot="1" x14ac:dyDescent="0.25">
      <c r="A21" s="14"/>
      <c r="B21" s="15"/>
      <c r="C21" s="18"/>
      <c r="D21" s="14"/>
      <c r="E21" s="18"/>
      <c r="F21" s="18"/>
      <c r="G21" s="18"/>
      <c r="H21" s="14"/>
      <c r="I21" s="18"/>
      <c r="J21" s="18"/>
      <c r="K21" s="18"/>
      <c r="L21" s="14"/>
      <c r="M21" s="18"/>
      <c r="N21" s="18"/>
      <c r="O21" s="18"/>
      <c r="P21" s="14"/>
      <c r="Q21" s="18"/>
      <c r="R21" s="18"/>
      <c r="S21" s="18"/>
      <c r="T21" s="14"/>
      <c r="U21" s="18"/>
      <c r="V21" s="18"/>
      <c r="W21" s="18"/>
      <c r="X21" s="14"/>
      <c r="Y21" s="18"/>
    </row>
    <row r="22" spans="1:26" ht="18.75" thickBot="1" x14ac:dyDescent="0.3">
      <c r="A22" s="46" t="s">
        <v>10</v>
      </c>
      <c r="B22" s="47"/>
      <c r="C22" s="63">
        <v>13592.28</v>
      </c>
      <c r="D22" s="77">
        <v>0.1</v>
      </c>
      <c r="E22" s="48">
        <f>C22*D22+C22</f>
        <v>14951.508000000002</v>
      </c>
      <c r="F22" s="49"/>
      <c r="G22" s="63">
        <v>8921.51</v>
      </c>
      <c r="H22" s="77">
        <v>0.1</v>
      </c>
      <c r="I22" s="48">
        <f>G22*H22+G22</f>
        <v>9813.6610000000001</v>
      </c>
      <c r="J22" s="49"/>
      <c r="K22" s="63">
        <v>9088.92</v>
      </c>
      <c r="L22" s="77">
        <v>0.1</v>
      </c>
      <c r="M22" s="48">
        <f>K22*L22+K22</f>
        <v>9997.8119999999999</v>
      </c>
      <c r="N22" s="49"/>
      <c r="O22" s="63">
        <f>'Détail budgets'!D17</f>
        <v>21517.128181818181</v>
      </c>
      <c r="P22" s="77"/>
      <c r="Q22" s="48">
        <v>22709.29</v>
      </c>
      <c r="R22" s="49"/>
      <c r="S22" s="63">
        <f>3354.59+600+450</f>
        <v>4404.59</v>
      </c>
      <c r="T22" s="102">
        <v>5.5E-2</v>
      </c>
      <c r="U22" s="50">
        <f>S22*T22+S22</f>
        <v>4646.8424500000001</v>
      </c>
      <c r="V22" s="18"/>
      <c r="W22" s="63">
        <v>8196.33</v>
      </c>
      <c r="X22" s="77">
        <v>0.1</v>
      </c>
      <c r="Y22" s="50">
        <f>W22*X22+W22</f>
        <v>9015.9629999999997</v>
      </c>
    </row>
    <row r="23" spans="1:26" ht="15.75" x14ac:dyDescent="0.25">
      <c r="A23" s="17"/>
      <c r="B23" s="15"/>
      <c r="C23" s="23"/>
      <c r="D23" s="78"/>
      <c r="E23" s="18"/>
      <c r="F23" s="18"/>
      <c r="G23" s="23"/>
      <c r="H23" s="78"/>
      <c r="I23" s="18"/>
      <c r="J23" s="18"/>
      <c r="K23" s="23"/>
      <c r="L23" s="78"/>
      <c r="M23" s="18"/>
      <c r="N23" s="18"/>
      <c r="O23" s="64"/>
      <c r="P23" s="79"/>
      <c r="Q23" s="18"/>
      <c r="R23" s="18"/>
      <c r="S23" s="23"/>
      <c r="T23" s="78"/>
      <c r="U23" s="18"/>
      <c r="V23" s="18"/>
      <c r="W23" s="23"/>
      <c r="X23" s="78"/>
      <c r="Y23" s="18"/>
    </row>
    <row r="24" spans="1:26" ht="15" x14ac:dyDescent="0.2">
      <c r="A24" s="14" t="s">
        <v>16</v>
      </c>
      <c r="B24" s="15"/>
      <c r="C24" s="65">
        <v>8738.73</v>
      </c>
      <c r="D24" s="80">
        <v>0.1</v>
      </c>
      <c r="E24" s="73">
        <f>C24*D24+C24</f>
        <v>9612.6029999999992</v>
      </c>
      <c r="F24" s="64"/>
      <c r="G24" s="65">
        <v>0</v>
      </c>
      <c r="H24" s="80"/>
      <c r="I24" s="73">
        <f>G24*H24+G24</f>
        <v>0</v>
      </c>
      <c r="J24" s="64"/>
      <c r="K24" s="65">
        <v>0</v>
      </c>
      <c r="L24" s="80"/>
      <c r="M24" s="73">
        <f>K24*L24+K24</f>
        <v>0</v>
      </c>
      <c r="N24" s="64"/>
      <c r="O24" s="65">
        <v>1249.96</v>
      </c>
      <c r="P24" s="80">
        <v>0.2</v>
      </c>
      <c r="Q24" s="73">
        <f>O24*P24+O24</f>
        <v>1499.952</v>
      </c>
      <c r="R24" s="64"/>
      <c r="S24" s="65">
        <f>918.31+150</f>
        <v>1068.31</v>
      </c>
      <c r="T24" s="80">
        <v>0.1</v>
      </c>
      <c r="U24" s="73">
        <f>S24*T24+S24</f>
        <v>1175.1409999999998</v>
      </c>
      <c r="V24" s="64"/>
      <c r="W24" s="65">
        <v>0</v>
      </c>
      <c r="X24" s="80">
        <v>0.1</v>
      </c>
      <c r="Y24" s="19">
        <f>W24*X24+W24</f>
        <v>0</v>
      </c>
    </row>
    <row r="25" spans="1:26" ht="15.75" x14ac:dyDescent="0.25">
      <c r="A25" s="14" t="s">
        <v>77</v>
      </c>
      <c r="B25" s="15"/>
      <c r="C25" s="65">
        <f>1824.04-287</f>
        <v>1537.04</v>
      </c>
      <c r="D25" s="80">
        <v>0.1</v>
      </c>
      <c r="E25" s="73">
        <f>C25*D25+C25</f>
        <v>1690.7439999999999</v>
      </c>
      <c r="F25" s="64"/>
      <c r="G25" s="65">
        <f>'Détail budgets'!W68</f>
        <v>171.48999999999796</v>
      </c>
      <c r="H25" s="80">
        <v>0.1</v>
      </c>
      <c r="I25" s="73">
        <f>G25*H25+G25</f>
        <v>188.63899999999776</v>
      </c>
      <c r="J25" s="64"/>
      <c r="K25" s="65">
        <v>-352.75</v>
      </c>
      <c r="L25" s="80">
        <v>0.1</v>
      </c>
      <c r="M25" s="73">
        <f>K25*L25+K25</f>
        <v>-388.02499999999998</v>
      </c>
      <c r="N25" s="64"/>
      <c r="O25" s="65">
        <f>Q25/1.2</f>
        <v>316.41666666666669</v>
      </c>
      <c r="P25" s="80">
        <v>0.2</v>
      </c>
      <c r="Q25" s="73">
        <v>379.7</v>
      </c>
      <c r="R25" s="64"/>
      <c r="S25" s="65"/>
      <c r="T25" s="80"/>
      <c r="U25" s="73"/>
      <c r="V25" s="64"/>
      <c r="W25" s="65">
        <f>'Détail budgets'!D69</f>
        <v>1114.3700000000008</v>
      </c>
      <c r="X25" s="80">
        <v>0.1</v>
      </c>
      <c r="Y25" s="19">
        <f>W25*X25+W25</f>
        <v>1225.8070000000009</v>
      </c>
      <c r="Z25" s="150">
        <f>SUM(E25,I25,M25,Q25,U25,Y25)</f>
        <v>3096.8649999999989</v>
      </c>
    </row>
    <row r="26" spans="1:26" ht="15.75" x14ac:dyDescent="0.25">
      <c r="A26" s="17"/>
      <c r="B26" s="15"/>
      <c r="C26" s="81"/>
      <c r="D26" s="18"/>
      <c r="E26" s="18"/>
      <c r="F26" s="18"/>
      <c r="G26" s="81"/>
      <c r="H26" s="18"/>
      <c r="I26" s="18"/>
      <c r="J26" s="18"/>
      <c r="K26" s="18"/>
      <c r="L26" s="81"/>
      <c r="M26" s="81"/>
      <c r="N26" s="18"/>
      <c r="O26" s="18"/>
      <c r="P26" s="81"/>
      <c r="Q26" s="62"/>
      <c r="R26" s="18"/>
      <c r="S26" s="82"/>
      <c r="T26" s="82"/>
      <c r="U26" s="82"/>
      <c r="V26" s="82"/>
      <c r="W26" s="82"/>
      <c r="X26" s="82"/>
      <c r="Y26" s="82"/>
      <c r="Z26" s="143" t="s">
        <v>173</v>
      </c>
    </row>
    <row r="27" spans="1:26" s="116" customFormat="1" ht="15.75" x14ac:dyDescent="0.25">
      <c r="A27" s="114"/>
      <c r="B27" s="32" t="s">
        <v>11</v>
      </c>
      <c r="C27" s="115">
        <f>SUM(C21:C26)</f>
        <v>23868.050000000003</v>
      </c>
      <c r="D27" s="20"/>
      <c r="E27" s="20"/>
      <c r="F27" s="20"/>
      <c r="G27" s="115">
        <f>SUM(G21:G26)</f>
        <v>9092.9999999999982</v>
      </c>
      <c r="H27" s="20"/>
      <c r="I27" s="20"/>
      <c r="J27" s="20"/>
      <c r="K27" s="115">
        <f>SUM(K21:K26)</f>
        <v>8736.17</v>
      </c>
      <c r="L27" s="20"/>
      <c r="M27" s="20"/>
      <c r="N27" s="83"/>
      <c r="O27" s="115">
        <f>SUM(O21:O26)</f>
        <v>23083.504848484848</v>
      </c>
      <c r="P27" s="20"/>
      <c r="Q27" s="20"/>
      <c r="R27" s="20"/>
      <c r="S27" s="115">
        <f>SUM(S21:S26)</f>
        <v>5472.9</v>
      </c>
      <c r="T27" s="20"/>
      <c r="U27" s="20"/>
      <c r="V27" s="20"/>
      <c r="W27" s="115">
        <f>SUM(W21:W26)</f>
        <v>9310.7000000000007</v>
      </c>
      <c r="X27" s="20"/>
      <c r="Y27" s="20"/>
    </row>
    <row r="28" spans="1:26" ht="15" x14ac:dyDescent="0.2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R28" s="14"/>
    </row>
    <row r="29" spans="1:26" s="36" customFormat="1" ht="20.25" x14ac:dyDescent="0.3">
      <c r="A29" s="187" t="s">
        <v>12</v>
      </c>
      <c r="B29" s="187"/>
      <c r="C29" s="14"/>
      <c r="E29" s="117">
        <f>SUM(E22:E26)</f>
        <v>26254.855</v>
      </c>
      <c r="F29" s="81"/>
      <c r="G29" s="81"/>
      <c r="H29" s="81"/>
      <c r="I29" s="117">
        <f>SUM(I22:I26)</f>
        <v>10002.299999999997</v>
      </c>
      <c r="J29" s="81"/>
      <c r="K29" s="81"/>
      <c r="L29" s="81"/>
      <c r="M29" s="117">
        <f>SUM(M22:M26)</f>
        <v>9609.7870000000003</v>
      </c>
      <c r="N29" s="81"/>
      <c r="O29" s="81"/>
      <c r="P29" s="81"/>
      <c r="Q29" s="117">
        <f>SUM(Q22:Q26)</f>
        <v>24588.942000000003</v>
      </c>
      <c r="R29" s="81"/>
      <c r="S29" s="81"/>
      <c r="T29" s="81"/>
      <c r="U29" s="117">
        <f>SUM(U22:U26)</f>
        <v>5821.9834499999997</v>
      </c>
      <c r="V29" s="20"/>
      <c r="W29" s="81"/>
      <c r="X29" s="81"/>
      <c r="Y29" s="117">
        <f>SUM(Y22:Y26)</f>
        <v>10241.77</v>
      </c>
    </row>
    <row r="30" spans="1:26" s="36" customFormat="1" ht="21" thickBot="1" x14ac:dyDescent="0.3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6" s="36" customFormat="1" ht="21" thickBot="1" x14ac:dyDescent="0.35">
      <c r="A31" s="14" t="s">
        <v>67</v>
      </c>
      <c r="B31" s="43"/>
      <c r="C31" s="76">
        <v>45108</v>
      </c>
      <c r="D31" s="43"/>
      <c r="E31" s="48">
        <v>9199.48</v>
      </c>
      <c r="F31" s="43"/>
      <c r="G31" s="118">
        <v>45345</v>
      </c>
      <c r="H31" s="142"/>
      <c r="I31" s="120">
        <v>9502.2999999999993</v>
      </c>
      <c r="K31" s="118">
        <v>45244</v>
      </c>
      <c r="L31" s="43"/>
      <c r="M31" s="48">
        <v>2999.38</v>
      </c>
      <c r="N31" s="43"/>
      <c r="O31" s="76">
        <v>45117</v>
      </c>
      <c r="P31" s="43"/>
      <c r="Q31" s="48">
        <v>6812.64</v>
      </c>
      <c r="R31" s="43"/>
      <c r="S31" s="76">
        <v>45177</v>
      </c>
      <c r="T31" s="43"/>
      <c r="U31" s="48">
        <v>1750</v>
      </c>
      <c r="V31" s="43"/>
      <c r="W31" s="118">
        <v>45205</v>
      </c>
      <c r="X31" s="119"/>
      <c r="Y31" s="120">
        <v>2705</v>
      </c>
    </row>
    <row r="32" spans="1:26" s="36" customFormat="1" ht="21" thickBot="1" x14ac:dyDescent="0.35">
      <c r="A32" s="14"/>
      <c r="B32" s="43"/>
      <c r="C32" s="118">
        <v>45232</v>
      </c>
      <c r="D32" s="43"/>
      <c r="E32" s="48">
        <v>12728.13</v>
      </c>
      <c r="F32" s="43"/>
      <c r="G32" s="76">
        <v>45545</v>
      </c>
      <c r="H32" s="43"/>
      <c r="I32" s="48">
        <v>500</v>
      </c>
      <c r="K32" s="76">
        <v>45295</v>
      </c>
      <c r="L32" s="43"/>
      <c r="M32" s="48">
        <f>5070.98*1.1</f>
        <v>5578.0779999999995</v>
      </c>
      <c r="N32" s="43"/>
      <c r="O32" s="76">
        <v>45299</v>
      </c>
      <c r="P32" s="43"/>
      <c r="Q32" s="48">
        <v>10000</v>
      </c>
      <c r="R32" s="43"/>
      <c r="S32" s="76">
        <v>45240</v>
      </c>
      <c r="T32" s="43"/>
      <c r="U32" s="48">
        <v>4071.98</v>
      </c>
      <c r="V32" s="43"/>
      <c r="W32" s="118">
        <v>45351</v>
      </c>
      <c r="X32" s="119"/>
      <c r="Y32" s="120">
        <v>7536.77</v>
      </c>
    </row>
    <row r="33" spans="1:25" s="36" customFormat="1" ht="21" thickBot="1" x14ac:dyDescent="0.35">
      <c r="A33" s="14"/>
      <c r="B33" s="43"/>
      <c r="C33" s="76">
        <v>45247</v>
      </c>
      <c r="D33" s="43"/>
      <c r="E33" s="48">
        <v>4327.25</v>
      </c>
      <c r="F33" s="43"/>
      <c r="G33" s="76"/>
      <c r="H33" s="43"/>
      <c r="I33" s="48"/>
      <c r="K33" s="118">
        <v>45359</v>
      </c>
      <c r="L33" s="43"/>
      <c r="M33" s="48">
        <v>1032.33</v>
      </c>
      <c r="N33" s="43"/>
      <c r="O33" s="76">
        <v>45463</v>
      </c>
      <c r="P33" s="43"/>
      <c r="Q33" s="48">
        <v>7776.3</v>
      </c>
      <c r="R33" s="43"/>
      <c r="S33" s="76"/>
      <c r="T33" s="43"/>
      <c r="U33" s="48"/>
      <c r="V33" s="43"/>
      <c r="X33" s="119"/>
      <c r="Y33" s="48"/>
    </row>
    <row r="34" spans="1:25" s="36" customFormat="1" ht="20.25" x14ac:dyDescent="0.3">
      <c r="A34" s="14" t="s">
        <v>68</v>
      </c>
      <c r="B34" s="43"/>
      <c r="C34" s="76"/>
      <c r="D34" s="43"/>
      <c r="E34" s="123">
        <f>E29-E31-E32-E33</f>
        <v>-4.9999999991996447E-3</v>
      </c>
      <c r="F34" s="43"/>
      <c r="G34" s="43"/>
      <c r="H34" s="43"/>
      <c r="I34" s="123">
        <f>I29-I31-I32-I33</f>
        <v>-1.8189894035458565E-12</v>
      </c>
      <c r="J34" s="43"/>
      <c r="K34" s="43"/>
      <c r="L34" s="43"/>
      <c r="M34" s="123">
        <f>M29-M31-M32-M33</f>
        <v>-9.9999999929423211E-4</v>
      </c>
      <c r="N34" s="43"/>
      <c r="O34" s="43"/>
      <c r="P34" s="43"/>
      <c r="Q34" s="123">
        <f>Q29-Q31-Q32-Q33</f>
        <v>2.0000000031359377E-3</v>
      </c>
      <c r="R34" s="43"/>
      <c r="S34" s="43"/>
      <c r="T34" s="43"/>
      <c r="U34" s="123">
        <f>U29-U31-U32-U33</f>
        <v>3.4499999997024133E-3</v>
      </c>
      <c r="V34" s="43"/>
      <c r="W34" s="43"/>
      <c r="X34" s="43"/>
      <c r="Y34" s="123">
        <f>Y29-Y31-Y32-Y33</f>
        <v>0</v>
      </c>
    </row>
    <row r="35" spans="1:25" ht="15" x14ac:dyDescent="0.2">
      <c r="A35" s="14"/>
      <c r="B35" s="15"/>
      <c r="C35" s="14"/>
      <c r="D35" s="14"/>
      <c r="E35" s="14"/>
      <c r="F35" s="14"/>
      <c r="G35" s="143"/>
      <c r="H35" s="14"/>
      <c r="J35" s="144"/>
      <c r="K35" s="144"/>
      <c r="L35" s="144"/>
      <c r="M35" s="144"/>
      <c r="N35" s="144"/>
      <c r="O35" s="145"/>
      <c r="P35" s="144"/>
      <c r="Q35" s="144"/>
      <c r="R35" s="144"/>
      <c r="S35" s="144"/>
      <c r="T35" s="144"/>
      <c r="U35" s="144"/>
      <c r="V35" s="144"/>
      <c r="W35" s="143" t="s">
        <v>159</v>
      </c>
    </row>
    <row r="36" spans="1:25" ht="15" customHeight="1" x14ac:dyDescent="0.2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74"/>
      <c r="P36" s="74"/>
      <c r="Q36" s="74"/>
      <c r="R36" s="14"/>
    </row>
    <row r="37" spans="1:25" ht="18.75" thickBot="1" x14ac:dyDescent="0.3">
      <c r="A37" s="66" t="s">
        <v>17</v>
      </c>
      <c r="C37" s="43"/>
      <c r="E37" s="178">
        <f>+C27+G27+K27+O27+S27+W27</f>
        <v>79564.324848484845</v>
      </c>
      <c r="F37" s="178"/>
      <c r="G37" s="178"/>
      <c r="H37" s="68" t="s">
        <v>8</v>
      </c>
      <c r="I37" s="14"/>
      <c r="J37" s="14"/>
      <c r="O37" s="74"/>
      <c r="P37" s="74"/>
      <c r="Q37" s="74"/>
      <c r="R37" s="14"/>
    </row>
    <row r="38" spans="1:25" s="36" customFormat="1" ht="21" thickBot="1" x14ac:dyDescent="0.35">
      <c r="A38" s="67" t="s">
        <v>23</v>
      </c>
      <c r="B38" s="45"/>
      <c r="C38" s="45"/>
      <c r="D38" s="45"/>
      <c r="E38" s="176">
        <f>E29+I29+M29+Q29+U29+Y29</f>
        <v>86519.637449999995</v>
      </c>
      <c r="F38" s="177"/>
      <c r="G38" s="177"/>
      <c r="H38" s="69" t="s">
        <v>6</v>
      </c>
      <c r="M38" s="121"/>
      <c r="O38" s="74"/>
      <c r="P38" s="74"/>
      <c r="Q38" s="74"/>
    </row>
    <row r="39" spans="1:25" s="36" customFormat="1" ht="20.25" x14ac:dyDescent="0.3">
      <c r="A39" s="14" t="s">
        <v>24</v>
      </c>
      <c r="B39" s="84"/>
      <c r="C39" s="84"/>
      <c r="D39" s="84"/>
      <c r="E39" s="188">
        <f>SUM(E31:E33,I31:I33,M31:M33,Q31:Q33,U31:U33,Y31:Y33)</f>
        <v>86519.638000000006</v>
      </c>
      <c r="F39" s="188"/>
      <c r="G39" s="188"/>
      <c r="H39" s="68" t="s">
        <v>6</v>
      </c>
      <c r="O39" s="74"/>
      <c r="P39" s="74"/>
      <c r="Q39" s="74"/>
    </row>
    <row r="40" spans="1:25" s="36" customFormat="1" ht="20.25" x14ac:dyDescent="0.3">
      <c r="A40" s="14" t="s">
        <v>25</v>
      </c>
      <c r="B40" s="84"/>
      <c r="C40" s="84"/>
      <c r="D40" s="84"/>
      <c r="E40" s="189">
        <f>SUM(E34,I34,M34,Q34,U34,Y34)</f>
        <v>-5.4999999747451511E-4</v>
      </c>
      <c r="F40" s="189"/>
      <c r="G40" s="189"/>
      <c r="H40" s="68" t="s">
        <v>6</v>
      </c>
      <c r="O40" s="192"/>
      <c r="P40" s="74"/>
      <c r="Q40" s="74"/>
    </row>
    <row r="41" spans="1:25" ht="15.75" x14ac:dyDescent="0.25">
      <c r="A41" s="14"/>
      <c r="B41" s="15"/>
      <c r="C41" s="31"/>
      <c r="D41" s="17"/>
      <c r="E41" s="31"/>
      <c r="F41" s="17"/>
      <c r="G41" s="17"/>
      <c r="H41" s="14"/>
      <c r="I41" s="14"/>
      <c r="J41" s="14"/>
      <c r="K41" s="14"/>
      <c r="L41" s="14"/>
      <c r="M41" s="14"/>
      <c r="N41" s="14"/>
      <c r="O41" s="74"/>
      <c r="P41" s="74"/>
      <c r="Q41" s="74"/>
      <c r="R41" s="14"/>
    </row>
    <row r="42" spans="1:25" ht="15.75" thickBot="1" x14ac:dyDescent="0.25">
      <c r="A42" s="14"/>
      <c r="B42" s="15"/>
      <c r="C42" s="14"/>
      <c r="D42" s="14"/>
      <c r="E42" s="14"/>
      <c r="F42" s="14"/>
      <c r="G42" s="14"/>
      <c r="H42" s="14"/>
      <c r="K42" s="14"/>
      <c r="L42" s="14"/>
      <c r="N42" s="14"/>
      <c r="O42" s="12"/>
      <c r="P42" s="14"/>
      <c r="R42" s="14"/>
    </row>
    <row r="43" spans="1:25" ht="18" x14ac:dyDescent="0.25">
      <c r="A43" s="183" t="s">
        <v>21</v>
      </c>
      <c r="B43" s="184"/>
      <c r="C43" s="70"/>
      <c r="D43" s="70"/>
      <c r="E43" s="70"/>
      <c r="F43" s="70"/>
      <c r="G43" s="37"/>
      <c r="H43" s="108"/>
      <c r="I43" s="108"/>
      <c r="J43" s="110"/>
      <c r="K43" s="111"/>
      <c r="N43" s="42"/>
      <c r="O43" s="193"/>
      <c r="P43" s="42"/>
      <c r="Q43" s="14"/>
      <c r="S43" s="14"/>
    </row>
    <row r="44" spans="1:25" ht="7.5" customHeight="1" x14ac:dyDescent="0.25">
      <c r="A44" s="105"/>
      <c r="B44" s="106"/>
      <c r="C44" s="104"/>
      <c r="D44" s="104"/>
      <c r="E44" s="104"/>
      <c r="F44" s="104"/>
      <c r="G44" s="14"/>
      <c r="H44" s="109"/>
      <c r="I44" s="109"/>
      <c r="K44" s="41"/>
      <c r="N44" s="42"/>
      <c r="O44" s="42"/>
      <c r="P44" s="42"/>
      <c r="Q44" s="14"/>
      <c r="S44" s="14"/>
    </row>
    <row r="45" spans="1:25" ht="23.25" x14ac:dyDescent="0.35">
      <c r="A45" s="173" t="s">
        <v>71</v>
      </c>
      <c r="B45" s="174"/>
      <c r="C45" s="160">
        <v>3400</v>
      </c>
      <c r="D45" s="161"/>
      <c r="E45" s="14" t="s">
        <v>8</v>
      </c>
      <c r="F45" s="30"/>
      <c r="G45" s="14"/>
      <c r="H45" s="35" t="s">
        <v>76</v>
      </c>
      <c r="I45" s="161">
        <v>3400</v>
      </c>
      <c r="J45" s="161"/>
      <c r="K45" s="38" t="s">
        <v>8</v>
      </c>
      <c r="L45" s="30"/>
      <c r="M45" s="8"/>
      <c r="N45" s="8"/>
      <c r="O45" s="14"/>
      <c r="Q45" s="14"/>
      <c r="S45" s="14"/>
      <c r="W45" s="33"/>
      <c r="X45" s="33"/>
      <c r="Y45" s="33"/>
    </row>
    <row r="46" spans="1:25" ht="9.75" customHeight="1" x14ac:dyDescent="0.35">
      <c r="A46" s="98"/>
      <c r="B46" s="99"/>
      <c r="C46" s="100"/>
      <c r="D46" s="101"/>
      <c r="E46" s="14"/>
      <c r="F46" s="30"/>
      <c r="H46" s="35"/>
      <c r="I46" s="30"/>
      <c r="J46" s="30"/>
      <c r="K46" s="38"/>
      <c r="L46" s="30"/>
      <c r="M46" s="8"/>
      <c r="N46" s="8"/>
      <c r="O46" s="14"/>
      <c r="Q46" s="14"/>
      <c r="S46" s="14"/>
      <c r="W46" s="33"/>
      <c r="X46" s="33"/>
      <c r="Y46" s="33"/>
    </row>
    <row r="47" spans="1:25" ht="18.75" thickBot="1" x14ac:dyDescent="0.3">
      <c r="A47" s="173" t="s">
        <v>73</v>
      </c>
      <c r="B47" s="174"/>
      <c r="C47" s="158">
        <v>0.12</v>
      </c>
      <c r="D47" s="159"/>
      <c r="E47" s="17"/>
      <c r="F47" s="17"/>
      <c r="H47" s="35"/>
      <c r="I47" s="16"/>
      <c r="J47" s="17"/>
      <c r="K47" s="38"/>
      <c r="L47" s="16"/>
      <c r="M47" s="170"/>
      <c r="N47" s="170"/>
      <c r="O47" s="14"/>
      <c r="P47" s="16"/>
      <c r="Q47" s="14"/>
      <c r="S47" s="14"/>
    </row>
    <row r="48" spans="1:25" ht="20.25" customHeight="1" thickBot="1" x14ac:dyDescent="0.35">
      <c r="A48" s="173" t="s">
        <v>72</v>
      </c>
      <c r="B48" s="174"/>
      <c r="C48" s="160">
        <f>E37*C47</f>
        <v>9547.7189818181814</v>
      </c>
      <c r="D48" s="161"/>
      <c r="E48" s="14" t="s">
        <v>8</v>
      </c>
      <c r="F48" s="14"/>
      <c r="H48" s="35" t="s">
        <v>76</v>
      </c>
      <c r="I48" s="161">
        <v>8400</v>
      </c>
      <c r="J48" s="161"/>
      <c r="K48" s="38" t="s">
        <v>8</v>
      </c>
      <c r="L48" s="18"/>
      <c r="M48" s="56" t="s">
        <v>13</v>
      </c>
      <c r="N48" s="57"/>
      <c r="O48" s="57"/>
      <c r="P48" s="57"/>
      <c r="Q48" s="57"/>
      <c r="R48" s="57"/>
      <c r="S48" s="57"/>
      <c r="T48" s="57"/>
      <c r="U48" s="186">
        <f>E54+E38</f>
        <v>98967.356431818174</v>
      </c>
      <c r="V48" s="186"/>
      <c r="W48" s="186"/>
      <c r="X48" s="58" t="s">
        <v>6</v>
      </c>
    </row>
    <row r="49" spans="1:21" ht="15" x14ac:dyDescent="0.2">
      <c r="A49" s="40"/>
      <c r="B49" s="35"/>
      <c r="C49" s="34"/>
      <c r="D49" s="18"/>
      <c r="E49" s="14"/>
      <c r="F49" s="14"/>
      <c r="G49" s="14"/>
      <c r="H49" s="14"/>
      <c r="I49" s="18"/>
      <c r="J49" s="14"/>
      <c r="K49" s="38"/>
    </row>
    <row r="50" spans="1:21" ht="15" x14ac:dyDescent="0.2">
      <c r="A50" s="179" t="s">
        <v>14</v>
      </c>
      <c r="B50" s="180"/>
      <c r="C50" s="175">
        <f>C45+C48</f>
        <v>12947.718981818181</v>
      </c>
      <c r="D50" s="175"/>
      <c r="E50" s="44" t="s">
        <v>8</v>
      </c>
      <c r="F50" s="14"/>
      <c r="G50" s="14"/>
      <c r="H50" s="35" t="s">
        <v>25</v>
      </c>
      <c r="I50" s="151">
        <f>C50-I45-I48</f>
        <v>1147.7189818181814</v>
      </c>
      <c r="J50" s="151"/>
      <c r="K50" s="38" t="s">
        <v>8</v>
      </c>
      <c r="L50" s="18"/>
      <c r="M50" s="14"/>
      <c r="N50" s="14"/>
      <c r="O50" s="14"/>
      <c r="P50" s="18"/>
      <c r="Q50" s="14"/>
      <c r="S50" s="14"/>
    </row>
    <row r="51" spans="1:21" ht="15" x14ac:dyDescent="0.2">
      <c r="A51" s="39"/>
      <c r="B51" s="15"/>
      <c r="C51" s="34"/>
      <c r="D51" s="18"/>
      <c r="E51" s="14"/>
      <c r="F51" s="14"/>
      <c r="G51" s="14"/>
      <c r="H51" s="35" t="s">
        <v>175</v>
      </c>
      <c r="I51" s="151">
        <v>500</v>
      </c>
      <c r="J51" s="151"/>
      <c r="K51" s="38" t="s">
        <v>8</v>
      </c>
      <c r="L51" s="18"/>
      <c r="M51" s="14"/>
      <c r="N51" s="14"/>
      <c r="O51" s="14"/>
      <c r="P51" s="18"/>
      <c r="Q51" s="85"/>
      <c r="R51" s="86"/>
      <c r="S51" s="85"/>
      <c r="T51" s="181"/>
      <c r="U51" s="182"/>
    </row>
    <row r="52" spans="1:21" ht="15.75" x14ac:dyDescent="0.2">
      <c r="A52" s="103"/>
      <c r="B52" s="35" t="s">
        <v>22</v>
      </c>
      <c r="F52" s="44"/>
      <c r="G52" s="24"/>
      <c r="H52" s="35" t="s">
        <v>176</v>
      </c>
      <c r="I52" s="151">
        <f>I50-I51</f>
        <v>647.71898181818142</v>
      </c>
      <c r="J52" s="151"/>
      <c r="K52" s="38" t="s">
        <v>8</v>
      </c>
      <c r="S52" s="24"/>
    </row>
    <row r="53" spans="1:21" ht="15.75" thickBot="1" x14ac:dyDescent="0.25">
      <c r="A53" s="40"/>
      <c r="B53" s="15"/>
      <c r="C53" s="14"/>
      <c r="D53" s="14"/>
      <c r="E53" s="14"/>
      <c r="F53" s="14"/>
      <c r="G53" s="14"/>
      <c r="H53" s="14"/>
      <c r="I53" s="14"/>
      <c r="J53" s="14"/>
      <c r="K53" s="41"/>
      <c r="O53" s="14"/>
      <c r="P53" s="14"/>
      <c r="Q53" s="14"/>
      <c r="S53" s="14"/>
    </row>
    <row r="54" spans="1:21" s="36" customFormat="1" ht="21" thickBot="1" x14ac:dyDescent="0.35">
      <c r="A54" s="71" t="s">
        <v>15</v>
      </c>
      <c r="B54" s="72"/>
      <c r="C54" s="72"/>
      <c r="D54" s="72"/>
      <c r="E54" s="176">
        <f>C50-I51</f>
        <v>12447.718981818181</v>
      </c>
      <c r="F54" s="177"/>
      <c r="G54" s="177"/>
      <c r="H54" s="69" t="s">
        <v>6</v>
      </c>
      <c r="I54" s="112"/>
      <c r="J54" s="112"/>
      <c r="K54" s="113"/>
    </row>
  </sheetData>
  <mergeCells count="41">
    <mergeCell ref="T51:U51"/>
    <mergeCell ref="A43:B43"/>
    <mergeCell ref="A15:B15"/>
    <mergeCell ref="W17:Y17"/>
    <mergeCell ref="W18:Y18"/>
    <mergeCell ref="U48:W48"/>
    <mergeCell ref="A29:B29"/>
    <mergeCell ref="E39:G39"/>
    <mergeCell ref="E40:G40"/>
    <mergeCell ref="S17:U17"/>
    <mergeCell ref="S18:U18"/>
    <mergeCell ref="C17:E17"/>
    <mergeCell ref="C18:E18"/>
    <mergeCell ref="O17:Q17"/>
    <mergeCell ref="O18:Q18"/>
    <mergeCell ref="E54:G54"/>
    <mergeCell ref="E38:G38"/>
    <mergeCell ref="E37:G37"/>
    <mergeCell ref="A50:B50"/>
    <mergeCell ref="A48:B48"/>
    <mergeCell ref="A45:B45"/>
    <mergeCell ref="C45:D45"/>
    <mergeCell ref="S14:T14"/>
    <mergeCell ref="D10:Y10"/>
    <mergeCell ref="D12:Y12"/>
    <mergeCell ref="M47:N47"/>
    <mergeCell ref="G18:I18"/>
    <mergeCell ref="K17:M17"/>
    <mergeCell ref="K18:M18"/>
    <mergeCell ref="G17:I17"/>
    <mergeCell ref="I45:J45"/>
    <mergeCell ref="I51:J51"/>
    <mergeCell ref="I52:J52"/>
    <mergeCell ref="A10:C10"/>
    <mergeCell ref="A12:C12"/>
    <mergeCell ref="C47:D47"/>
    <mergeCell ref="C48:D48"/>
    <mergeCell ref="A47:B47"/>
    <mergeCell ref="I48:J48"/>
    <mergeCell ref="C50:D50"/>
    <mergeCell ref="I50:J50"/>
  </mergeCells>
  <pageMargins left="0.59055118110236227" right="0.19685039370078741" top="0.74803149606299213" bottom="0.74803149606299213" header="0.31496062992125984" footer="0.31496062992125984"/>
  <pageSetup paperSize="9" scale="48" orientation="landscape" r:id="rId1"/>
  <headerFooter scaleWithDoc="0">
    <oddHeader>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3850-AE6C-48EA-92C3-D94CC91212F7}">
  <dimension ref="A3:X69"/>
  <sheetViews>
    <sheetView workbookViewId="0">
      <selection activeCell="F19" activeCellId="2" sqref="F8:F10 F12:F15 F19"/>
    </sheetView>
  </sheetViews>
  <sheetFormatPr baseColWidth="10" defaultRowHeight="15" x14ac:dyDescent="0.25"/>
  <cols>
    <col min="1" max="1" width="13" customWidth="1"/>
    <col min="2" max="2" width="5.85546875" customWidth="1"/>
    <col min="3" max="3" width="47.140625" customWidth="1"/>
    <col min="4" max="4" width="17.28515625" customWidth="1"/>
    <col min="6" max="6" width="13.5703125" customWidth="1"/>
    <col min="7" max="7" width="2.42578125" customWidth="1"/>
    <col min="9" max="9" width="2.7109375" customWidth="1"/>
    <col min="13" max="13" width="43.140625" customWidth="1"/>
    <col min="14" max="15" width="11.42578125" style="89"/>
    <col min="16" max="16" width="19" customWidth="1"/>
    <col min="17" max="17" width="19.42578125" style="89" customWidth="1"/>
    <col min="19" max="19" width="4.7109375" customWidth="1"/>
    <col min="22" max="22" width="3.5703125" customWidth="1"/>
  </cols>
  <sheetData>
    <row r="3" spans="3:23" ht="15.75" x14ac:dyDescent="0.25">
      <c r="D3" s="172" t="s">
        <v>34</v>
      </c>
      <c r="E3" s="172"/>
      <c r="F3" s="172"/>
      <c r="L3" s="172" t="s">
        <v>79</v>
      </c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</row>
    <row r="4" spans="3:23" ht="15.75" x14ac:dyDescent="0.25">
      <c r="D4" s="171" t="s">
        <v>35</v>
      </c>
      <c r="E4" s="171"/>
      <c r="F4" s="171"/>
      <c r="L4" s="171" t="s">
        <v>29</v>
      </c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</row>
    <row r="5" spans="3:23" ht="15.75" x14ac:dyDescent="0.25">
      <c r="D5" s="22"/>
      <c r="E5" s="22"/>
      <c r="F5" s="22"/>
    </row>
    <row r="6" spans="3:23" x14ac:dyDescent="0.25">
      <c r="D6" s="29" t="s">
        <v>0</v>
      </c>
      <c r="E6" s="29" t="s">
        <v>9</v>
      </c>
      <c r="F6" s="29" t="s">
        <v>1</v>
      </c>
      <c r="N6" s="125" t="s">
        <v>80</v>
      </c>
      <c r="O6" s="125" t="s">
        <v>83</v>
      </c>
      <c r="Q6" s="125" t="s">
        <v>87</v>
      </c>
    </row>
    <row r="7" spans="3:23" ht="3" customHeight="1" x14ac:dyDescent="0.25">
      <c r="D7" s="18"/>
      <c r="E7" s="14"/>
      <c r="F7" s="18"/>
    </row>
    <row r="8" spans="3:23" x14ac:dyDescent="0.25">
      <c r="C8" t="s">
        <v>58</v>
      </c>
      <c r="D8" s="90">
        <f>F8/(1+E8)</f>
        <v>10945.690909090908</v>
      </c>
      <c r="E8" s="91">
        <v>0.1</v>
      </c>
      <c r="F8" s="136">
        <v>12040.26</v>
      </c>
      <c r="L8" s="124" t="s">
        <v>91</v>
      </c>
      <c r="M8" t="s">
        <v>84</v>
      </c>
      <c r="N8" s="89">
        <v>236.36</v>
      </c>
      <c r="T8" t="s">
        <v>96</v>
      </c>
      <c r="U8" t="s">
        <v>97</v>
      </c>
    </row>
    <row r="9" spans="3:23" x14ac:dyDescent="0.25">
      <c r="C9" t="s">
        <v>59</v>
      </c>
      <c r="D9" s="90">
        <f t="shared" ref="D9:D16" si="0">F9/(1+E9)</f>
        <v>2429.9833333333336</v>
      </c>
      <c r="E9" s="91">
        <v>0.2</v>
      </c>
      <c r="F9" s="136">
        <v>2915.98</v>
      </c>
      <c r="L9" s="124"/>
      <c r="M9" t="s">
        <v>81</v>
      </c>
      <c r="O9" s="89">
        <f>5*74.21</f>
        <v>371.04999999999995</v>
      </c>
      <c r="S9" s="190" t="s">
        <v>108</v>
      </c>
      <c r="T9">
        <v>272.45</v>
      </c>
      <c r="U9">
        <v>272.45</v>
      </c>
    </row>
    <row r="10" spans="3:23" x14ac:dyDescent="0.25">
      <c r="C10" t="s">
        <v>60</v>
      </c>
      <c r="D10" s="90">
        <f t="shared" si="0"/>
        <v>1228.5</v>
      </c>
      <c r="E10" s="91">
        <v>0.2</v>
      </c>
      <c r="F10" s="136">
        <v>1474.2</v>
      </c>
      <c r="L10" s="124"/>
      <c r="M10" t="s">
        <v>82</v>
      </c>
      <c r="O10" s="89">
        <v>432.73</v>
      </c>
      <c r="S10" s="190"/>
      <c r="T10" s="127">
        <f>T9</f>
        <v>272.45</v>
      </c>
      <c r="U10" s="127">
        <f>U9</f>
        <v>272.45</v>
      </c>
    </row>
    <row r="11" spans="3:23" x14ac:dyDescent="0.25">
      <c r="C11" t="s">
        <v>78</v>
      </c>
      <c r="D11" s="90">
        <v>1249.96</v>
      </c>
      <c r="E11" s="91">
        <v>0.2</v>
      </c>
      <c r="F11" s="136">
        <v>1499.95</v>
      </c>
      <c r="H11" s="92">
        <f>D11*1.2</f>
        <v>1499.952</v>
      </c>
      <c r="J11" s="122">
        <f>F11/1.2</f>
        <v>1249.9583333333335</v>
      </c>
      <c r="K11" s="122"/>
      <c r="L11" s="124"/>
      <c r="M11" t="s">
        <v>85</v>
      </c>
      <c r="N11" s="89">
        <v>141.19999999999999</v>
      </c>
      <c r="S11" s="190"/>
    </row>
    <row r="12" spans="3:23" x14ac:dyDescent="0.25">
      <c r="C12" t="s">
        <v>61</v>
      </c>
      <c r="D12" s="90">
        <f t="shared" si="0"/>
        <v>739.95454545454538</v>
      </c>
      <c r="E12" s="91">
        <v>0.1</v>
      </c>
      <c r="F12" s="136">
        <v>813.95</v>
      </c>
      <c r="I12" s="122"/>
      <c r="L12" s="124"/>
      <c r="M12" t="s">
        <v>86</v>
      </c>
      <c r="N12" s="89">
        <v>86.18</v>
      </c>
      <c r="S12" s="190"/>
      <c r="T12">
        <v>84.32</v>
      </c>
      <c r="U12">
        <v>84.32</v>
      </c>
    </row>
    <row r="13" spans="3:23" x14ac:dyDescent="0.25">
      <c r="C13" t="s">
        <v>62</v>
      </c>
      <c r="D13" s="90">
        <f t="shared" si="0"/>
        <v>529.1</v>
      </c>
      <c r="E13" s="91">
        <v>0.2</v>
      </c>
      <c r="F13" s="136">
        <v>634.91999999999996</v>
      </c>
      <c r="L13" s="124"/>
      <c r="M13" t="s">
        <v>88</v>
      </c>
      <c r="N13" s="89" t="s">
        <v>90</v>
      </c>
      <c r="S13" s="190"/>
      <c r="T13">
        <v>84.32</v>
      </c>
      <c r="U13">
        <v>84.32</v>
      </c>
    </row>
    <row r="14" spans="3:23" x14ac:dyDescent="0.25">
      <c r="C14" t="s">
        <v>63</v>
      </c>
      <c r="D14" s="90">
        <f t="shared" si="0"/>
        <v>2350.2500000000005</v>
      </c>
      <c r="E14" s="91">
        <v>0.2</v>
      </c>
      <c r="F14" s="136">
        <v>2820.3</v>
      </c>
      <c r="N14" s="126">
        <f>SUM(N8:N13)</f>
        <v>463.74</v>
      </c>
      <c r="O14" s="126">
        <f>SUM(O9:O13)</f>
        <v>803.78</v>
      </c>
      <c r="Q14" s="125">
        <f>O14-N14</f>
        <v>340.03999999999996</v>
      </c>
      <c r="S14" s="190"/>
      <c r="T14">
        <v>451.28</v>
      </c>
      <c r="U14">
        <v>451.28</v>
      </c>
    </row>
    <row r="15" spans="3:23" x14ac:dyDescent="0.25">
      <c r="C15" t="s">
        <v>64</v>
      </c>
      <c r="D15" s="90">
        <f t="shared" si="0"/>
        <v>1727.272727272727</v>
      </c>
      <c r="E15" s="91">
        <v>0.1</v>
      </c>
      <c r="F15" s="136">
        <v>1900</v>
      </c>
      <c r="N15" s="126">
        <f>N14*1.1</f>
        <v>510.11400000000003</v>
      </c>
      <c r="O15" s="126">
        <f>O14*1.1</f>
        <v>884.15800000000002</v>
      </c>
      <c r="Q15" s="125">
        <f>O15-N15</f>
        <v>374.04399999999998</v>
      </c>
      <c r="S15" s="190"/>
      <c r="T15">
        <v>537.79</v>
      </c>
      <c r="U15">
        <v>537.79</v>
      </c>
    </row>
    <row r="16" spans="3:23" ht="16.5" customHeight="1" thickBot="1" x14ac:dyDescent="0.3">
      <c r="C16" t="s">
        <v>174</v>
      </c>
      <c r="D16" s="90">
        <f t="shared" si="0"/>
        <v>316.41666666666669</v>
      </c>
      <c r="E16" s="91">
        <v>0.2</v>
      </c>
      <c r="F16" s="136">
        <v>379.7</v>
      </c>
      <c r="N16" s="126"/>
      <c r="O16" s="126"/>
      <c r="Q16" s="125"/>
      <c r="S16" s="190"/>
      <c r="T16">
        <v>1125</v>
      </c>
      <c r="U16">
        <v>1125</v>
      </c>
    </row>
    <row r="17" spans="1:24" ht="15.75" thickBot="1" x14ac:dyDescent="0.3">
      <c r="D17" s="94">
        <f>SUM(D8:D16)</f>
        <v>21517.128181818181</v>
      </c>
      <c r="E17" s="95"/>
      <c r="F17" s="96">
        <f>SUM(F8:F16)</f>
        <v>24479.26</v>
      </c>
      <c r="N17" s="126">
        <v>4172.59</v>
      </c>
      <c r="O17" s="126">
        <v>4512.63</v>
      </c>
      <c r="Q17" s="125"/>
      <c r="S17" s="190"/>
      <c r="T17">
        <v>202.42</v>
      </c>
      <c r="U17">
        <v>202.42</v>
      </c>
    </row>
    <row r="18" spans="1:24" ht="16.5" customHeight="1" x14ac:dyDescent="0.25">
      <c r="D18" s="93"/>
      <c r="E18" s="93"/>
      <c r="F18" s="93"/>
      <c r="N18" s="125" t="s">
        <v>97</v>
      </c>
      <c r="O18" s="126" t="s">
        <v>96</v>
      </c>
      <c r="Q18" s="125"/>
      <c r="S18" s="190"/>
      <c r="T18">
        <v>1187.3599999999999</v>
      </c>
      <c r="U18">
        <v>816.31</v>
      </c>
    </row>
    <row r="19" spans="1:24" x14ac:dyDescent="0.25">
      <c r="C19" t="s">
        <v>65</v>
      </c>
      <c r="D19" s="93"/>
      <c r="E19" s="93"/>
      <c r="F19" s="92">
        <f>70.39+39.3</f>
        <v>109.69</v>
      </c>
      <c r="S19" s="190"/>
      <c r="T19">
        <v>126.6</v>
      </c>
      <c r="U19">
        <v>126.6</v>
      </c>
    </row>
    <row r="20" spans="1:24" ht="15" customHeight="1" thickBot="1" x14ac:dyDescent="0.3">
      <c r="D20" s="93"/>
      <c r="E20" s="93"/>
      <c r="F20" s="93"/>
      <c r="S20" s="190"/>
      <c r="T20">
        <v>432.73</v>
      </c>
      <c r="W20" t="s">
        <v>82</v>
      </c>
    </row>
    <row r="21" spans="1:24" ht="15.75" thickBot="1" x14ac:dyDescent="0.3">
      <c r="C21" t="s">
        <v>66</v>
      </c>
      <c r="D21" s="93"/>
      <c r="E21" s="93"/>
      <c r="F21" s="97">
        <f>SUM(F17,F19)</f>
        <v>24588.949999999997</v>
      </c>
      <c r="H21" s="122"/>
      <c r="S21" s="190"/>
      <c r="U21">
        <v>236.36</v>
      </c>
      <c r="W21" t="s">
        <v>84</v>
      </c>
    </row>
    <row r="22" spans="1:24" x14ac:dyDescent="0.25">
      <c r="D22" s="93"/>
      <c r="E22" s="93"/>
      <c r="F22" s="93"/>
      <c r="L22" t="s">
        <v>94</v>
      </c>
      <c r="M22" t="s">
        <v>93</v>
      </c>
      <c r="N22" s="89">
        <v>104.54</v>
      </c>
      <c r="S22" s="190"/>
      <c r="U22">
        <v>141.19999999999999</v>
      </c>
      <c r="W22" t="s">
        <v>85</v>
      </c>
    </row>
    <row r="23" spans="1:24" x14ac:dyDescent="0.25">
      <c r="C23">
        <f>1199.99+1079.99+2499.98+1649.99+929.99-2943.98</f>
        <v>4415.9599999999991</v>
      </c>
      <c r="E23" s="91"/>
      <c r="F23" s="92"/>
      <c r="M23" t="s">
        <v>89</v>
      </c>
      <c r="N23" s="89" t="s">
        <v>90</v>
      </c>
      <c r="S23" s="190"/>
      <c r="U23">
        <v>86.18</v>
      </c>
      <c r="W23" t="s">
        <v>86</v>
      </c>
    </row>
    <row r="24" spans="1:24" x14ac:dyDescent="0.25">
      <c r="M24" t="s">
        <v>95</v>
      </c>
      <c r="N24" s="89" t="s">
        <v>90</v>
      </c>
      <c r="S24" s="190"/>
      <c r="T24">
        <v>280.81</v>
      </c>
      <c r="U24">
        <v>280.81</v>
      </c>
    </row>
    <row r="25" spans="1:24" x14ac:dyDescent="0.25">
      <c r="S25" s="190"/>
      <c r="U25" s="128" t="s">
        <v>90</v>
      </c>
      <c r="W25" s="132" t="s">
        <v>111</v>
      </c>
    </row>
    <row r="26" spans="1:24" x14ac:dyDescent="0.25">
      <c r="S26" s="190"/>
      <c r="U26" s="128" t="s">
        <v>90</v>
      </c>
      <c r="W26" s="132" t="s">
        <v>88</v>
      </c>
    </row>
    <row r="27" spans="1:24" ht="15.75" x14ac:dyDescent="0.25">
      <c r="D27" s="172" t="s">
        <v>118</v>
      </c>
      <c r="E27" s="172"/>
      <c r="F27" s="172"/>
      <c r="L27" t="s">
        <v>92</v>
      </c>
      <c r="M27" t="s">
        <v>93</v>
      </c>
      <c r="N27" s="89">
        <v>104.54</v>
      </c>
      <c r="S27" s="190"/>
      <c r="T27" s="127">
        <f>SUM(T12:T26)</f>
        <v>4512.63</v>
      </c>
      <c r="U27" s="127">
        <f>SUM(U12:U26)</f>
        <v>4172.59</v>
      </c>
      <c r="W27">
        <f>T27-U27</f>
        <v>340.03999999999996</v>
      </c>
      <c r="X27" t="s">
        <v>98</v>
      </c>
    </row>
    <row r="28" spans="1:24" ht="15.75" x14ac:dyDescent="0.25">
      <c r="D28" s="171" t="s">
        <v>119</v>
      </c>
      <c r="E28" s="171"/>
      <c r="F28" s="171"/>
      <c r="S28" s="190"/>
    </row>
    <row r="29" spans="1:24" ht="15.75" x14ac:dyDescent="0.25">
      <c r="D29" s="22"/>
      <c r="E29" s="22"/>
      <c r="F29" s="22"/>
      <c r="N29" s="125" t="s">
        <v>6</v>
      </c>
      <c r="O29" s="125" t="s">
        <v>8</v>
      </c>
      <c r="S29" s="190"/>
      <c r="T29">
        <v>97.66</v>
      </c>
      <c r="U29">
        <v>97.66</v>
      </c>
    </row>
    <row r="30" spans="1:24" x14ac:dyDescent="0.25">
      <c r="D30" s="29" t="s">
        <v>0</v>
      </c>
      <c r="E30" s="29" t="s">
        <v>9</v>
      </c>
      <c r="F30" s="29" t="s">
        <v>1</v>
      </c>
      <c r="N30" s="89">
        <v>9302.08</v>
      </c>
      <c r="O30" s="89">
        <v>8921.51</v>
      </c>
      <c r="Q30" s="89">
        <f>N30-O30</f>
        <v>380.56999999999971</v>
      </c>
      <c r="S30" s="190"/>
      <c r="T30">
        <v>150.57</v>
      </c>
      <c r="U30">
        <v>150.57</v>
      </c>
    </row>
    <row r="31" spans="1:24" ht="15.75" x14ac:dyDescent="0.25">
      <c r="D31" s="18"/>
      <c r="E31" s="14"/>
      <c r="F31" s="18"/>
      <c r="N31" s="89">
        <v>10232.290000000001</v>
      </c>
      <c r="O31" s="89">
        <v>9813.66</v>
      </c>
      <c r="Q31" s="89">
        <f>N31-O31</f>
        <v>418.63000000000102</v>
      </c>
      <c r="S31" s="190"/>
      <c r="T31">
        <v>209.08</v>
      </c>
      <c r="U31">
        <v>104.54</v>
      </c>
      <c r="W31" s="132" t="s">
        <v>99</v>
      </c>
    </row>
    <row r="32" spans="1:24" x14ac:dyDescent="0.25">
      <c r="A32" t="s">
        <v>94</v>
      </c>
      <c r="B32" s="133" t="s">
        <v>121</v>
      </c>
      <c r="C32" t="s">
        <v>120</v>
      </c>
      <c r="D32" s="90">
        <v>854.1</v>
      </c>
      <c r="E32" s="91">
        <v>0.1</v>
      </c>
      <c r="F32" s="92">
        <f>D32*1.1</f>
        <v>939.5100000000001</v>
      </c>
      <c r="S32" s="190"/>
      <c r="T32">
        <v>74.209999999999994</v>
      </c>
      <c r="U32">
        <v>74.209999999999994</v>
      </c>
    </row>
    <row r="33" spans="1:23" x14ac:dyDescent="0.25">
      <c r="B33" s="139" t="s">
        <v>122</v>
      </c>
      <c r="C33" s="140" t="s">
        <v>123</v>
      </c>
      <c r="D33" s="90">
        <v>85.23</v>
      </c>
      <c r="E33" s="91">
        <v>0.1</v>
      </c>
      <c r="F33" s="92">
        <f t="shared" ref="F33:F59" si="1">D33*1.1</f>
        <v>93.753000000000014</v>
      </c>
      <c r="S33" s="190"/>
      <c r="T33" s="127">
        <f>SUM(T29:T32)</f>
        <v>531.52</v>
      </c>
      <c r="U33" s="127">
        <f>SUM(U29:U32)</f>
        <v>426.97999999999996</v>
      </c>
    </row>
    <row r="34" spans="1:23" x14ac:dyDescent="0.25">
      <c r="B34" s="139" t="s">
        <v>122</v>
      </c>
      <c r="C34" s="140" t="s">
        <v>124</v>
      </c>
      <c r="D34" s="90"/>
      <c r="E34" s="91">
        <v>0.1</v>
      </c>
      <c r="F34" s="92">
        <f t="shared" si="1"/>
        <v>0</v>
      </c>
      <c r="S34" s="190"/>
    </row>
    <row r="35" spans="1:23" x14ac:dyDescent="0.25">
      <c r="B35" s="139" t="s">
        <v>122</v>
      </c>
      <c r="C35" s="140" t="s">
        <v>125</v>
      </c>
      <c r="D35" s="90">
        <v>101.41</v>
      </c>
      <c r="E35" s="91">
        <v>0.1</v>
      </c>
      <c r="F35" s="92">
        <f t="shared" si="1"/>
        <v>111.551</v>
      </c>
      <c r="S35" s="190"/>
      <c r="T35">
        <v>209.08</v>
      </c>
      <c r="U35">
        <v>104.54</v>
      </c>
      <c r="W35" s="132" t="s">
        <v>100</v>
      </c>
    </row>
    <row r="36" spans="1:23" x14ac:dyDescent="0.25">
      <c r="A36" t="s">
        <v>92</v>
      </c>
      <c r="B36" s="133" t="s">
        <v>121</v>
      </c>
      <c r="C36" t="s">
        <v>134</v>
      </c>
      <c r="D36" s="90">
        <v>224.58</v>
      </c>
      <c r="E36" s="91">
        <v>0.1</v>
      </c>
      <c r="F36" s="92">
        <f t="shared" si="1"/>
        <v>247.03800000000004</v>
      </c>
      <c r="S36" s="190"/>
      <c r="T36">
        <v>97.78</v>
      </c>
      <c r="U36">
        <v>97.78</v>
      </c>
      <c r="W36" t="s">
        <v>103</v>
      </c>
    </row>
    <row r="37" spans="1:23" ht="15.75" x14ac:dyDescent="0.25">
      <c r="B37" s="133" t="s">
        <v>121</v>
      </c>
      <c r="C37" t="s">
        <v>135</v>
      </c>
      <c r="D37" s="90">
        <v>185.96</v>
      </c>
      <c r="E37" s="91">
        <v>0.1</v>
      </c>
      <c r="F37" s="92">
        <f t="shared" si="1"/>
        <v>204.55600000000001</v>
      </c>
      <c r="M37" s="172" t="s">
        <v>30</v>
      </c>
      <c r="N37" s="172"/>
      <c r="O37" s="172"/>
      <c r="S37" s="190"/>
      <c r="U37" s="128" t="s">
        <v>90</v>
      </c>
      <c r="W37" s="131" t="s">
        <v>110</v>
      </c>
    </row>
    <row r="38" spans="1:23" ht="15.75" x14ac:dyDescent="0.25">
      <c r="B38" s="139" t="s">
        <v>122</v>
      </c>
      <c r="C38" s="141" t="s">
        <v>136</v>
      </c>
      <c r="D38" s="90">
        <v>45.98</v>
      </c>
      <c r="E38" s="91">
        <v>0.1</v>
      </c>
      <c r="F38" s="92">
        <f t="shared" si="1"/>
        <v>50.578000000000003</v>
      </c>
      <c r="M38" s="171" t="s">
        <v>36</v>
      </c>
      <c r="N38" s="171"/>
      <c r="O38" s="171"/>
      <c r="S38" s="190"/>
      <c r="T38" s="127">
        <f>SUM(T35:T37)</f>
        <v>306.86</v>
      </c>
      <c r="U38" s="127">
        <f>SUM(U35:U37)</f>
        <v>202.32</v>
      </c>
      <c r="W38" s="131"/>
    </row>
    <row r="39" spans="1:23" x14ac:dyDescent="0.25">
      <c r="B39" s="139" t="s">
        <v>122</v>
      </c>
      <c r="C39" s="141" t="s">
        <v>137</v>
      </c>
      <c r="D39" s="90">
        <v>50</v>
      </c>
      <c r="E39" s="91">
        <v>0.1</v>
      </c>
      <c r="F39" s="92">
        <f t="shared" si="1"/>
        <v>55.000000000000007</v>
      </c>
      <c r="K39" t="s">
        <v>162</v>
      </c>
      <c r="L39" t="s">
        <v>163</v>
      </c>
      <c r="N39" s="89" t="s">
        <v>8</v>
      </c>
      <c r="O39" s="89" t="s">
        <v>6</v>
      </c>
      <c r="P39" s="149" t="s">
        <v>164</v>
      </c>
      <c r="Q39" s="149" t="s">
        <v>165</v>
      </c>
      <c r="S39" s="190"/>
      <c r="W39" s="131"/>
    </row>
    <row r="40" spans="1:23" x14ac:dyDescent="0.25">
      <c r="A40" t="s">
        <v>126</v>
      </c>
      <c r="B40" s="133" t="s">
        <v>121</v>
      </c>
      <c r="C40" t="s">
        <v>127</v>
      </c>
      <c r="D40" s="90">
        <v>941.82</v>
      </c>
      <c r="E40" s="91">
        <v>0.1</v>
      </c>
      <c r="F40" s="92">
        <f t="shared" si="1"/>
        <v>1036.0020000000002</v>
      </c>
      <c r="K40" s="146">
        <v>45173</v>
      </c>
      <c r="M40" t="s">
        <v>160</v>
      </c>
      <c r="N40" s="90">
        <v>9088.92</v>
      </c>
      <c r="O40" s="90">
        <v>9997.8119999999999</v>
      </c>
      <c r="P40" s="149">
        <v>6623.79</v>
      </c>
      <c r="Q40" s="149">
        <v>2465.13</v>
      </c>
      <c r="S40" s="190"/>
      <c r="T40">
        <v>97.66</v>
      </c>
      <c r="U40">
        <v>97.66</v>
      </c>
      <c r="W40" s="131"/>
    </row>
    <row r="41" spans="1:23" x14ac:dyDescent="0.25">
      <c r="B41" s="133" t="s">
        <v>121</v>
      </c>
      <c r="C41" t="s">
        <v>128</v>
      </c>
      <c r="D41" s="90">
        <v>892.72</v>
      </c>
      <c r="E41" s="91">
        <v>0.1</v>
      </c>
      <c r="F41" s="92">
        <f t="shared" si="1"/>
        <v>981.99200000000008</v>
      </c>
      <c r="P41" s="149"/>
      <c r="Q41" s="149"/>
      <c r="S41" s="190"/>
      <c r="T41">
        <v>97.78</v>
      </c>
      <c r="U41">
        <v>97.78</v>
      </c>
      <c r="W41" s="131" t="s">
        <v>102</v>
      </c>
    </row>
    <row r="42" spans="1:23" x14ac:dyDescent="0.25">
      <c r="B42" s="133" t="s">
        <v>121</v>
      </c>
      <c r="C42" t="s">
        <v>129</v>
      </c>
      <c r="D42" s="90">
        <v>782.64</v>
      </c>
      <c r="E42" s="91">
        <v>0.1</v>
      </c>
      <c r="F42" s="92">
        <f t="shared" si="1"/>
        <v>860.90400000000011</v>
      </c>
      <c r="J42" t="s">
        <v>169</v>
      </c>
      <c r="K42" s="146">
        <v>45195</v>
      </c>
      <c r="L42" s="146">
        <v>45244</v>
      </c>
      <c r="M42" t="s">
        <v>161</v>
      </c>
      <c r="N42" s="90">
        <v>2726.71</v>
      </c>
      <c r="O42" s="90">
        <f>N42*1.1</f>
        <v>2999.3810000000003</v>
      </c>
      <c r="P42" s="149">
        <f>1987.17</f>
        <v>1987.17</v>
      </c>
      <c r="Q42" s="149">
        <v>739.54</v>
      </c>
      <c r="S42" s="190"/>
      <c r="T42">
        <v>355.8</v>
      </c>
      <c r="U42">
        <v>355.8</v>
      </c>
      <c r="W42" s="131"/>
    </row>
    <row r="43" spans="1:23" x14ac:dyDescent="0.25">
      <c r="B43" s="133" t="s">
        <v>121</v>
      </c>
      <c r="C43" t="s">
        <v>130</v>
      </c>
      <c r="D43" s="90">
        <v>238.64</v>
      </c>
      <c r="E43" s="91">
        <v>0.1</v>
      </c>
      <c r="F43" s="92">
        <f t="shared" si="1"/>
        <v>262.50400000000002</v>
      </c>
      <c r="J43" t="s">
        <v>170</v>
      </c>
      <c r="K43" s="146">
        <v>45279</v>
      </c>
      <c r="L43" s="146">
        <v>45292</v>
      </c>
      <c r="M43" t="s">
        <v>166</v>
      </c>
      <c r="N43" s="90">
        <v>5070.9799999999996</v>
      </c>
      <c r="O43" s="90">
        <f>N43*1.1</f>
        <v>5578.0779999999995</v>
      </c>
      <c r="P43" s="149">
        <f>4636.62+36.73</f>
        <v>4673.3499999999995</v>
      </c>
      <c r="Q43" s="149">
        <f>397.63</f>
        <v>397.63</v>
      </c>
      <c r="S43" s="190"/>
      <c r="T43">
        <v>272.45</v>
      </c>
      <c r="U43">
        <v>272.45</v>
      </c>
      <c r="W43" s="131"/>
    </row>
    <row r="44" spans="1:23" x14ac:dyDescent="0.25">
      <c r="B44" s="139" t="s">
        <v>122</v>
      </c>
      <c r="C44" s="140" t="s">
        <v>154</v>
      </c>
      <c r="D44" s="90">
        <v>323.83</v>
      </c>
      <c r="E44" s="91">
        <v>0.1</v>
      </c>
      <c r="F44" s="92">
        <f t="shared" si="1"/>
        <v>356.21300000000002</v>
      </c>
      <c r="J44" t="s">
        <v>171</v>
      </c>
      <c r="K44" s="146">
        <v>45351</v>
      </c>
      <c r="M44" t="s">
        <v>168</v>
      </c>
      <c r="N44" s="90">
        <f>1327.96-389.48</f>
        <v>938.48</v>
      </c>
      <c r="O44" s="90">
        <f>N44*1.1</f>
        <v>1032.3280000000002</v>
      </c>
      <c r="P44" s="149"/>
      <c r="Q44" s="149">
        <v>1327.96</v>
      </c>
      <c r="S44" s="190"/>
      <c r="W44" s="131"/>
    </row>
    <row r="45" spans="1:23" x14ac:dyDescent="0.25">
      <c r="B45" s="133" t="s">
        <v>121</v>
      </c>
      <c r="C45" t="s">
        <v>131</v>
      </c>
      <c r="D45" s="90">
        <v>1800</v>
      </c>
      <c r="E45" s="91">
        <v>0.1</v>
      </c>
      <c r="F45" s="92">
        <f t="shared" si="1"/>
        <v>1980.0000000000002</v>
      </c>
      <c r="N45" s="90"/>
      <c r="O45" s="90"/>
      <c r="P45" s="149"/>
      <c r="Q45" s="149"/>
      <c r="S45" s="190"/>
      <c r="U45">
        <v>125</v>
      </c>
      <c r="W45" s="131" t="s">
        <v>101</v>
      </c>
    </row>
    <row r="46" spans="1:23" x14ac:dyDescent="0.25">
      <c r="A46" t="s">
        <v>132</v>
      </c>
      <c r="B46" s="133" t="s">
        <v>121</v>
      </c>
      <c r="C46" t="s">
        <v>133</v>
      </c>
      <c r="D46" s="90">
        <v>448.5</v>
      </c>
      <c r="E46" s="91">
        <v>0.1</v>
      </c>
      <c r="F46" s="92">
        <f t="shared" si="1"/>
        <v>493.35</v>
      </c>
      <c r="N46" s="90"/>
      <c r="O46" s="90"/>
      <c r="P46" s="149"/>
      <c r="Q46" s="149"/>
      <c r="S46" s="190"/>
      <c r="U46" s="128" t="s">
        <v>90</v>
      </c>
      <c r="W46" s="131" t="s">
        <v>110</v>
      </c>
    </row>
    <row r="47" spans="1:23" x14ac:dyDescent="0.25">
      <c r="A47" t="s">
        <v>138</v>
      </c>
      <c r="B47" s="133" t="s">
        <v>121</v>
      </c>
      <c r="C47" t="s">
        <v>139</v>
      </c>
      <c r="D47" s="90">
        <v>80</v>
      </c>
      <c r="E47" s="91">
        <v>0.1</v>
      </c>
      <c r="F47" s="92">
        <f t="shared" si="1"/>
        <v>88</v>
      </c>
      <c r="M47" s="127" t="s">
        <v>167</v>
      </c>
      <c r="N47" s="147">
        <f>SUM(N42:N46)</f>
        <v>8736.17</v>
      </c>
      <c r="O47" s="147">
        <f>SUM(O42:O46)</f>
        <v>9609.7869999999984</v>
      </c>
      <c r="P47" s="149"/>
      <c r="Q47" s="149"/>
      <c r="S47" s="190"/>
      <c r="T47" s="127">
        <f>SUM(T40:T46)</f>
        <v>823.69</v>
      </c>
      <c r="U47" s="127">
        <f>SUM(U40:U46)</f>
        <v>948.69</v>
      </c>
    </row>
    <row r="48" spans="1:23" x14ac:dyDescent="0.25">
      <c r="B48" s="139" t="s">
        <v>122</v>
      </c>
      <c r="C48" s="140" t="s">
        <v>140</v>
      </c>
      <c r="D48" s="90">
        <v>40</v>
      </c>
      <c r="E48" s="91">
        <v>0.1</v>
      </c>
      <c r="F48" s="92">
        <f t="shared" si="1"/>
        <v>44</v>
      </c>
      <c r="M48" t="s">
        <v>172</v>
      </c>
      <c r="N48" s="87">
        <f>N40-N47</f>
        <v>352.75</v>
      </c>
      <c r="O48" s="87">
        <f>O40-O47</f>
        <v>388.02500000000146</v>
      </c>
      <c r="P48" s="148"/>
      <c r="Q48" s="149"/>
      <c r="S48" s="190"/>
    </row>
    <row r="49" spans="1:23" x14ac:dyDescent="0.25">
      <c r="A49" t="s">
        <v>40</v>
      </c>
      <c r="B49" s="133" t="s">
        <v>121</v>
      </c>
      <c r="C49" t="s">
        <v>141</v>
      </c>
      <c r="D49" s="90">
        <v>499.84</v>
      </c>
      <c r="E49" s="91">
        <v>0.1</v>
      </c>
      <c r="F49" s="92">
        <f t="shared" si="1"/>
        <v>549.82400000000007</v>
      </c>
      <c r="S49" s="190"/>
      <c r="U49">
        <v>106.56</v>
      </c>
      <c r="W49" t="s">
        <v>105</v>
      </c>
    </row>
    <row r="50" spans="1:23" x14ac:dyDescent="0.25">
      <c r="B50" s="133" t="s">
        <v>121</v>
      </c>
      <c r="C50" t="s">
        <v>142</v>
      </c>
      <c r="D50" s="90">
        <v>100</v>
      </c>
      <c r="E50" s="91">
        <v>0.1</v>
      </c>
      <c r="F50" s="92">
        <f t="shared" si="1"/>
        <v>110.00000000000001</v>
      </c>
      <c r="S50" s="190"/>
      <c r="U50">
        <v>269.83999999999997</v>
      </c>
      <c r="W50" t="s">
        <v>104</v>
      </c>
    </row>
    <row r="51" spans="1:23" x14ac:dyDescent="0.25">
      <c r="B51" s="133" t="s">
        <v>121</v>
      </c>
      <c r="C51" t="s">
        <v>144</v>
      </c>
      <c r="D51" s="90">
        <v>84.09</v>
      </c>
      <c r="E51" s="91">
        <v>0.1</v>
      </c>
      <c r="F51" s="92">
        <f t="shared" si="1"/>
        <v>92.499000000000009</v>
      </c>
      <c r="S51" s="190"/>
      <c r="U51">
        <v>166</v>
      </c>
      <c r="W51" t="s">
        <v>106</v>
      </c>
    </row>
    <row r="52" spans="1:23" x14ac:dyDescent="0.25">
      <c r="B52" s="133" t="s">
        <v>121</v>
      </c>
      <c r="C52" t="s">
        <v>146</v>
      </c>
      <c r="D52" s="90">
        <v>316.52999999999997</v>
      </c>
      <c r="E52" s="91">
        <v>0.1</v>
      </c>
      <c r="F52" s="92">
        <f t="shared" si="1"/>
        <v>348.18299999999999</v>
      </c>
      <c r="S52" s="190"/>
      <c r="U52">
        <v>53.21</v>
      </c>
      <c r="W52" t="s">
        <v>107</v>
      </c>
    </row>
    <row r="53" spans="1:23" x14ac:dyDescent="0.25">
      <c r="B53" s="139" t="s">
        <v>122</v>
      </c>
      <c r="C53" s="140" t="s">
        <v>148</v>
      </c>
      <c r="D53" s="90">
        <v>39.65</v>
      </c>
      <c r="E53" s="91">
        <v>0.1</v>
      </c>
      <c r="F53" s="92">
        <f t="shared" si="1"/>
        <v>43.615000000000002</v>
      </c>
      <c r="S53" s="129"/>
      <c r="U53" s="127">
        <f>SUM(U49:U52)</f>
        <v>595.61</v>
      </c>
    </row>
    <row r="54" spans="1:23" x14ac:dyDescent="0.25">
      <c r="B54" s="133" t="s">
        <v>121</v>
      </c>
      <c r="C54" t="s">
        <v>149</v>
      </c>
      <c r="D54" s="90">
        <v>200</v>
      </c>
      <c r="E54" s="91">
        <v>0.1</v>
      </c>
      <c r="F54" s="92">
        <f t="shared" si="1"/>
        <v>220.00000000000003</v>
      </c>
      <c r="S54" s="190" t="s">
        <v>109</v>
      </c>
    </row>
    <row r="55" spans="1:23" x14ac:dyDescent="0.25">
      <c r="B55" s="133" t="s">
        <v>121</v>
      </c>
      <c r="C55" t="s">
        <v>150</v>
      </c>
      <c r="D55" s="90">
        <v>120</v>
      </c>
      <c r="E55" s="91">
        <v>0.1</v>
      </c>
      <c r="F55" s="92">
        <f t="shared" si="1"/>
        <v>132</v>
      </c>
      <c r="S55" s="190"/>
      <c r="T55">
        <v>979.77</v>
      </c>
      <c r="U55">
        <v>979.77</v>
      </c>
    </row>
    <row r="56" spans="1:23" x14ac:dyDescent="0.25">
      <c r="B56" s="139" t="s">
        <v>122</v>
      </c>
      <c r="C56" s="140" t="s">
        <v>151</v>
      </c>
      <c r="D56" s="90">
        <f>196.61+200</f>
        <v>396.61</v>
      </c>
      <c r="E56" s="91">
        <v>0.1</v>
      </c>
      <c r="F56" s="92">
        <f t="shared" si="1"/>
        <v>436.27100000000007</v>
      </c>
      <c r="S56" s="190"/>
      <c r="T56">
        <v>191.65</v>
      </c>
      <c r="U56">
        <v>191.65</v>
      </c>
    </row>
    <row r="57" spans="1:23" x14ac:dyDescent="0.25">
      <c r="B57" s="139" t="s">
        <v>122</v>
      </c>
      <c r="C57" s="140" t="s">
        <v>153</v>
      </c>
      <c r="D57" s="90">
        <v>162.19</v>
      </c>
      <c r="E57" s="91">
        <v>0.1</v>
      </c>
      <c r="F57" s="92">
        <f t="shared" si="1"/>
        <v>178.40900000000002</v>
      </c>
      <c r="S57" s="190"/>
      <c r="T57">
        <v>23.93</v>
      </c>
      <c r="U57">
        <v>23.93</v>
      </c>
    </row>
    <row r="58" spans="1:23" x14ac:dyDescent="0.25">
      <c r="B58" s="139" t="s">
        <v>122</v>
      </c>
      <c r="C58" s="140" t="s">
        <v>152</v>
      </c>
      <c r="D58" s="90">
        <v>246.38</v>
      </c>
      <c r="E58" s="91">
        <v>0.1</v>
      </c>
      <c r="F58" s="92">
        <f t="shared" si="1"/>
        <v>271.01800000000003</v>
      </c>
      <c r="S58" s="190"/>
      <c r="T58">
        <v>293.52999999999997</v>
      </c>
      <c r="U58">
        <v>293.52999999999997</v>
      </c>
    </row>
    <row r="59" spans="1:23" x14ac:dyDescent="0.25">
      <c r="B59" s="139" t="s">
        <v>122</v>
      </c>
      <c r="C59" s="140" t="s">
        <v>158</v>
      </c>
      <c r="D59" s="90">
        <v>50</v>
      </c>
      <c r="E59" s="91">
        <v>0.1</v>
      </c>
      <c r="F59" s="92">
        <f t="shared" si="1"/>
        <v>55.000000000000007</v>
      </c>
      <c r="S59" s="190"/>
      <c r="T59">
        <v>59.88</v>
      </c>
      <c r="U59">
        <v>59.88</v>
      </c>
    </row>
    <row r="60" spans="1:23" ht="15.75" thickBot="1" x14ac:dyDescent="0.3">
      <c r="D60" s="93"/>
      <c r="E60" s="93"/>
      <c r="F60" s="93"/>
      <c r="S60" s="190"/>
      <c r="T60">
        <v>6.06</v>
      </c>
      <c r="U60">
        <v>6.06</v>
      </c>
    </row>
    <row r="61" spans="1:23" ht="15.75" thickBot="1" x14ac:dyDescent="0.3">
      <c r="C61" s="127" t="s">
        <v>155</v>
      </c>
      <c r="D61" s="137">
        <f>SUM(D32:D59)</f>
        <v>9310.7000000000007</v>
      </c>
      <c r="E61" s="138"/>
      <c r="F61" s="97">
        <f>SUM(F32:F60)</f>
        <v>10241.770000000002</v>
      </c>
      <c r="G61" s="127"/>
      <c r="S61" s="190"/>
      <c r="T61">
        <v>157.4</v>
      </c>
      <c r="U61">
        <v>157.4</v>
      </c>
    </row>
    <row r="62" spans="1:23" x14ac:dyDescent="0.25">
      <c r="D62" s="93"/>
      <c r="E62" s="93"/>
      <c r="F62" s="93"/>
      <c r="S62" s="190"/>
      <c r="T62">
        <v>3.15</v>
      </c>
      <c r="U62">
        <v>3.15</v>
      </c>
    </row>
    <row r="63" spans="1:23" x14ac:dyDescent="0.25">
      <c r="A63" t="s">
        <v>40</v>
      </c>
      <c r="B63" s="133" t="s">
        <v>145</v>
      </c>
      <c r="C63" s="128" t="s">
        <v>143</v>
      </c>
      <c r="D63" s="134">
        <f>-98.57-100</f>
        <v>-198.57</v>
      </c>
      <c r="E63" s="135">
        <v>0.1</v>
      </c>
      <c r="F63" s="136">
        <f>D63*1.1</f>
        <v>-218.42700000000002</v>
      </c>
      <c r="S63" s="190"/>
      <c r="T63">
        <v>11.33</v>
      </c>
      <c r="U63">
        <v>11.33</v>
      </c>
    </row>
    <row r="64" spans="1:23" x14ac:dyDescent="0.25">
      <c r="B64" s="133" t="s">
        <v>145</v>
      </c>
      <c r="C64" s="128" t="s">
        <v>147</v>
      </c>
      <c r="D64" s="134">
        <v>-228.34</v>
      </c>
      <c r="E64" s="135">
        <v>0.1</v>
      </c>
      <c r="F64" s="136">
        <f>D64*1.1</f>
        <v>-251.17400000000004</v>
      </c>
      <c r="S64" s="190"/>
      <c r="T64">
        <v>160.43</v>
      </c>
      <c r="U64">
        <v>160.43</v>
      </c>
    </row>
    <row r="65" spans="3:23" x14ac:dyDescent="0.25">
      <c r="D65" s="93"/>
      <c r="E65" s="93"/>
      <c r="F65" s="93"/>
      <c r="S65" s="190"/>
      <c r="T65">
        <v>587.23</v>
      </c>
      <c r="U65">
        <v>587.23</v>
      </c>
    </row>
    <row r="66" spans="3:23" ht="15.75" thickBot="1" x14ac:dyDescent="0.3">
      <c r="D66" s="93"/>
      <c r="E66" s="93"/>
      <c r="F66" s="93"/>
      <c r="T66" s="127">
        <f>SUM(T55:T65)</f>
        <v>2474.3600000000006</v>
      </c>
      <c r="U66" s="127">
        <f>SUM(U55:U65)</f>
        <v>2474.3600000000006</v>
      </c>
    </row>
    <row r="67" spans="3:23" ht="15.75" thickBot="1" x14ac:dyDescent="0.3">
      <c r="C67" s="127" t="s">
        <v>156</v>
      </c>
      <c r="D67" s="137">
        <v>8196.33</v>
      </c>
      <c r="E67" s="138"/>
      <c r="F67" s="97">
        <v>9015.9599999999991</v>
      </c>
      <c r="G67" s="127"/>
      <c r="S67" t="s">
        <v>8</v>
      </c>
    </row>
    <row r="68" spans="3:23" x14ac:dyDescent="0.25">
      <c r="S68" t="s">
        <v>6</v>
      </c>
      <c r="T68" s="130">
        <f>SUM(T66,T47,T38,T33,T27,T10)</f>
        <v>8921.510000000002</v>
      </c>
      <c r="U68" s="130">
        <f>SUM(U66,U53,U47,U38,U33,U27,U10)</f>
        <v>9093</v>
      </c>
      <c r="W68">
        <f>U68-T68</f>
        <v>171.48999999999796</v>
      </c>
    </row>
    <row r="69" spans="3:23" x14ac:dyDescent="0.25">
      <c r="C69" t="s">
        <v>157</v>
      </c>
      <c r="D69" s="87">
        <f>D61-D67</f>
        <v>1114.3700000000008</v>
      </c>
      <c r="F69" s="87">
        <f>F61-F67</f>
        <v>1225.8100000000031</v>
      </c>
      <c r="T69" s="125">
        <f>T68*1.1</f>
        <v>9813.6610000000037</v>
      </c>
      <c r="U69" s="125">
        <f>U68*1.1</f>
        <v>10002.300000000001</v>
      </c>
      <c r="W69">
        <f>U69-T69</f>
        <v>188.6389999999974</v>
      </c>
    </row>
  </sheetData>
  <mergeCells count="10">
    <mergeCell ref="L3:W3"/>
    <mergeCell ref="S9:S52"/>
    <mergeCell ref="S54:S65"/>
    <mergeCell ref="L4:W4"/>
    <mergeCell ref="D3:F3"/>
    <mergeCell ref="D4:F4"/>
    <mergeCell ref="D27:F27"/>
    <mergeCell ref="D28:F28"/>
    <mergeCell ref="M37:O37"/>
    <mergeCell ref="M38:O38"/>
  </mergeCells>
  <phoneticPr fontId="4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5C64-8A8E-4F4A-8E22-F12DFEB8359D}">
  <dimension ref="B3:D19"/>
  <sheetViews>
    <sheetView workbookViewId="0">
      <selection activeCell="J21" sqref="J21"/>
    </sheetView>
  </sheetViews>
  <sheetFormatPr baseColWidth="10" defaultRowHeight="15" x14ac:dyDescent="0.25"/>
  <cols>
    <col min="3" max="3" width="41.28515625" customWidth="1"/>
    <col min="4" max="4" width="14.7109375" style="89" customWidth="1"/>
  </cols>
  <sheetData>
    <row r="3" spans="2:4" x14ac:dyDescent="0.25">
      <c r="B3" t="s">
        <v>38</v>
      </c>
      <c r="C3" t="s">
        <v>53</v>
      </c>
      <c r="D3" s="107">
        <v>5485.21</v>
      </c>
    </row>
    <row r="4" spans="2:4" x14ac:dyDescent="0.25">
      <c r="C4" t="s">
        <v>74</v>
      </c>
      <c r="D4" s="87"/>
    </row>
    <row r="5" spans="2:4" x14ac:dyDescent="0.25">
      <c r="C5" t="s">
        <v>75</v>
      </c>
      <c r="D5" s="87"/>
    </row>
    <row r="6" spans="2:4" x14ac:dyDescent="0.25">
      <c r="B6" t="s">
        <v>39</v>
      </c>
      <c r="C6" t="s">
        <v>40</v>
      </c>
      <c r="D6" s="88">
        <v>23258.58</v>
      </c>
    </row>
    <row r="7" spans="2:4" x14ac:dyDescent="0.25">
      <c r="B7" t="s">
        <v>41</v>
      </c>
      <c r="C7" t="s">
        <v>42</v>
      </c>
      <c r="D7" s="191">
        <v>14951.51</v>
      </c>
    </row>
    <row r="8" spans="2:4" x14ac:dyDescent="0.25">
      <c r="C8" t="s">
        <v>47</v>
      </c>
      <c r="D8" s="191"/>
    </row>
    <row r="9" spans="2:4" x14ac:dyDescent="0.25">
      <c r="C9" t="s">
        <v>48</v>
      </c>
      <c r="D9" s="191"/>
    </row>
    <row r="10" spans="2:4" x14ac:dyDescent="0.25">
      <c r="C10" t="s">
        <v>44</v>
      </c>
      <c r="D10" s="191"/>
    </row>
    <row r="11" spans="2:4" x14ac:dyDescent="0.25">
      <c r="B11" t="s">
        <v>43</v>
      </c>
      <c r="C11" t="s">
        <v>56</v>
      </c>
      <c r="D11" s="87"/>
    </row>
    <row r="12" spans="2:4" x14ac:dyDescent="0.25">
      <c r="C12" t="s">
        <v>45</v>
      </c>
      <c r="D12" s="87"/>
    </row>
    <row r="13" spans="2:4" x14ac:dyDescent="0.25">
      <c r="C13" t="s">
        <v>44</v>
      </c>
      <c r="D13" s="87"/>
    </row>
    <row r="14" spans="2:4" x14ac:dyDescent="0.25">
      <c r="C14" t="s">
        <v>46</v>
      </c>
      <c r="D14" s="87"/>
    </row>
    <row r="15" spans="2:4" x14ac:dyDescent="0.25">
      <c r="B15" t="s">
        <v>49</v>
      </c>
      <c r="C15" t="s">
        <v>50</v>
      </c>
      <c r="D15" s="87"/>
    </row>
    <row r="16" spans="2:4" x14ac:dyDescent="0.25">
      <c r="C16" t="s">
        <v>51</v>
      </c>
      <c r="D16" s="87"/>
    </row>
    <row r="17" spans="2:4" x14ac:dyDescent="0.25">
      <c r="C17" t="s">
        <v>52</v>
      </c>
      <c r="D17" s="89">
        <f>509.11+332.31</f>
        <v>841.42000000000007</v>
      </c>
    </row>
    <row r="18" spans="2:4" x14ac:dyDescent="0.25">
      <c r="B18" t="s">
        <v>54</v>
      </c>
      <c r="C18" t="s">
        <v>55</v>
      </c>
    </row>
    <row r="19" spans="2:4" x14ac:dyDescent="0.25">
      <c r="C19" t="s">
        <v>57</v>
      </c>
    </row>
  </sheetData>
  <mergeCells count="1">
    <mergeCell ref="D7:D1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6355B-8E28-4FFB-9351-CD20CF6A33E3}">
  <dimension ref="B5:D8"/>
  <sheetViews>
    <sheetView workbookViewId="0">
      <selection activeCell="C9" sqref="C9"/>
    </sheetView>
  </sheetViews>
  <sheetFormatPr baseColWidth="10" defaultRowHeight="15" x14ac:dyDescent="0.25"/>
  <cols>
    <col min="2" max="2" width="18.140625" customWidth="1"/>
    <col min="3" max="3" width="40.28515625" customWidth="1"/>
    <col min="4" max="4" width="22.5703125" customWidth="1"/>
  </cols>
  <sheetData>
    <row r="5" spans="2:4" x14ac:dyDescent="0.25">
      <c r="B5" t="s">
        <v>43</v>
      </c>
      <c r="C5" t="s">
        <v>112</v>
      </c>
    </row>
    <row r="6" spans="2:4" x14ac:dyDescent="0.25">
      <c r="B6" t="s">
        <v>113</v>
      </c>
      <c r="C6" t="s">
        <v>114</v>
      </c>
      <c r="D6" t="s">
        <v>115</v>
      </c>
    </row>
    <row r="7" spans="2:4" x14ac:dyDescent="0.25">
      <c r="B7" t="s">
        <v>38</v>
      </c>
      <c r="C7" t="s">
        <v>116</v>
      </c>
    </row>
    <row r="8" spans="2:4" x14ac:dyDescent="0.25">
      <c r="B8" t="s">
        <v>39</v>
      </c>
      <c r="C8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RECAPITULATIF</vt:lpstr>
      <vt:lpstr>Détail budgets</vt:lpstr>
      <vt:lpstr>feuille</vt:lpstr>
      <vt:lpstr>RAF</vt:lpstr>
      <vt:lpstr>RECAPITULATIF!Zone_d_impression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#001</dc:subject>
  <dc:creator>raphaël</dc:creator>
  <cp:lastModifiedBy>Lau Dum</cp:lastModifiedBy>
  <cp:lastPrinted>2024-09-05T14:43:45Z</cp:lastPrinted>
  <dcterms:created xsi:type="dcterms:W3CDTF">2018-04-06T09:58:58Z</dcterms:created>
  <dcterms:modified xsi:type="dcterms:W3CDTF">2024-09-05T14:50:58Z</dcterms:modified>
</cp:coreProperties>
</file>